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-fw\Desktop\2023_Herbst\"/>
    </mc:Choice>
  </mc:AlternateContent>
  <xr:revisionPtr revIDLastSave="0" documentId="8_{22A06450-66D0-495C-91CE-D397C1D18893}" xr6:coauthVersionLast="47" xr6:coauthVersionMax="47" xr10:uidLastSave="{00000000-0000-0000-0000-000000000000}"/>
  <bookViews>
    <workbookView xWindow="14400" yWindow="0" windowWidth="14400" windowHeight="15600" firstSheet="4" activeTab="9" xr2:uid="{A950C884-6350-4677-91D9-19A80564CCC9}"/>
  </bookViews>
  <sheets>
    <sheet name="II.5.4" sheetId="4" r:id="rId1"/>
    <sheet name="II.5.5" sheetId="5" r:id="rId2"/>
    <sheet name="II.5.6" sheetId="6" r:id="rId3"/>
    <sheet name="II.5.10" sheetId="7" r:id="rId4"/>
    <sheet name="III.3.11" sheetId="3" r:id="rId5"/>
    <sheet name="III.3.17" sheetId="8" r:id="rId6"/>
    <sheet name="III.4.7" sheetId="9" r:id="rId7"/>
    <sheet name="III.5.8" sheetId="10" r:id="rId8"/>
    <sheet name="III.6.1" sheetId="1" r:id="rId9"/>
    <sheet name="III.6.4" sheetId="11" r:id="rId10"/>
    <sheet name="III.6.7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1" l="1"/>
  <c r="C27" i="11"/>
  <c r="D23" i="11"/>
  <c r="E21" i="11"/>
  <c r="B21" i="11"/>
  <c r="F19" i="11"/>
  <c r="E19" i="11"/>
  <c r="D19" i="11"/>
  <c r="C19" i="11"/>
  <c r="B19" i="11"/>
  <c r="F17" i="11"/>
  <c r="E17" i="11"/>
  <c r="D17" i="11"/>
  <c r="C17" i="11"/>
  <c r="B17" i="11"/>
  <c r="F15" i="11"/>
  <c r="F16" i="11" s="1"/>
  <c r="E15" i="11"/>
  <c r="D15" i="11"/>
  <c r="C15" i="11"/>
  <c r="B15" i="11"/>
  <c r="F14" i="11"/>
  <c r="E14" i="11"/>
  <c r="E16" i="11" s="1"/>
  <c r="E18" i="11" s="1"/>
  <c r="E20" i="11" s="1"/>
  <c r="D14" i="11"/>
  <c r="D16" i="11" s="1"/>
  <c r="C14" i="11"/>
  <c r="C16" i="11" s="1"/>
  <c r="C18" i="11" s="1"/>
  <c r="C20" i="11" s="1"/>
  <c r="B14" i="11"/>
  <c r="B16" i="11" s="1"/>
  <c r="B18" i="11" s="1"/>
  <c r="B20" i="11" s="1"/>
  <c r="B22" i="11" s="1"/>
  <c r="C15" i="10"/>
  <c r="C14" i="10"/>
  <c r="D14" i="10" s="1"/>
  <c r="C13" i="10"/>
  <c r="D13" i="10" s="1"/>
  <c r="C12" i="10"/>
  <c r="D12" i="10" s="1"/>
  <c r="I93" i="9"/>
  <c r="H89" i="9"/>
  <c r="H90" i="9" s="1"/>
  <c r="H86" i="9"/>
  <c r="H87" i="9" s="1"/>
  <c r="H81" i="9"/>
  <c r="D81" i="9"/>
  <c r="H76" i="9"/>
  <c r="B76" i="9"/>
  <c r="G74" i="9"/>
  <c r="E74" i="9"/>
  <c r="C74" i="9"/>
  <c r="A79" i="9" s="1"/>
  <c r="A74" i="9"/>
  <c r="E73" i="9"/>
  <c r="C73" i="9"/>
  <c r="A73" i="9"/>
  <c r="G72" i="9"/>
  <c r="A76" i="9" s="1"/>
  <c r="A78" i="9" s="1"/>
  <c r="E72" i="9"/>
  <c r="E76" i="9" s="1"/>
  <c r="C72" i="9"/>
  <c r="C76" i="9" s="1"/>
  <c r="A72" i="9"/>
  <c r="B60" i="9"/>
  <c r="B63" i="9" s="1"/>
  <c r="I59" i="9"/>
  <c r="C36" i="9"/>
  <c r="B36" i="9"/>
  <c r="D35" i="9"/>
  <c r="C34" i="9"/>
  <c r="B33" i="9"/>
  <c r="I32" i="9"/>
  <c r="E28" i="9"/>
  <c r="E29" i="9" s="1"/>
  <c r="E25" i="9"/>
  <c r="E26" i="9" s="1"/>
  <c r="I17" i="9"/>
  <c r="E53" i="9" s="1"/>
  <c r="I16" i="9"/>
  <c r="G73" i="9" s="1"/>
  <c r="G78" i="9" s="1"/>
  <c r="G86" i="9" s="1"/>
  <c r="I15" i="9"/>
  <c r="E45" i="9" s="1"/>
  <c r="E46" i="9" s="1"/>
  <c r="I3" i="9"/>
  <c r="B30" i="8"/>
  <c r="B29" i="8"/>
  <c r="B28" i="8"/>
  <c r="C31" i="8" s="1"/>
  <c r="C26" i="8"/>
  <c r="D32" i="8" s="1"/>
  <c r="D34" i="8" s="1"/>
  <c r="C36" i="8" s="1"/>
  <c r="D37" i="8" s="1"/>
  <c r="B25" i="8"/>
  <c r="B24" i="8"/>
  <c r="B23" i="8"/>
  <c r="B22" i="8"/>
  <c r="B15" i="8"/>
  <c r="B14" i="8"/>
  <c r="F6" i="7"/>
  <c r="C6" i="7"/>
  <c r="F5" i="7"/>
  <c r="F4" i="7"/>
  <c r="F2" i="7"/>
  <c r="E3" i="6"/>
  <c r="E5" i="6" s="1"/>
  <c r="B7" i="6" s="1"/>
  <c r="D7" i="6" s="1"/>
  <c r="D11" i="5"/>
  <c r="B11" i="5"/>
  <c r="B8" i="5"/>
  <c r="D7" i="5"/>
  <c r="B7" i="5"/>
  <c r="B4" i="5"/>
  <c r="D2" i="5"/>
  <c r="B2" i="5"/>
  <c r="B3" i="5" s="1"/>
  <c r="D5" i="4"/>
  <c r="B5" i="4"/>
  <c r="B6" i="4" s="1"/>
  <c r="B3" i="4"/>
  <c r="D3" i="4" s="1"/>
  <c r="B1" i="4"/>
  <c r="D1" i="4" s="1"/>
  <c r="D20" i="3"/>
  <c r="D15" i="3"/>
  <c r="C6" i="3"/>
  <c r="B10" i="3" s="1"/>
  <c r="E31" i="2"/>
  <c r="D18" i="2"/>
  <c r="E15" i="2"/>
  <c r="E16" i="2" s="1"/>
  <c r="E22" i="2" s="1"/>
  <c r="E26" i="2" s="1"/>
  <c r="D15" i="2"/>
  <c r="C15" i="2"/>
  <c r="C16" i="2" s="1"/>
  <c r="D14" i="2"/>
  <c r="D16" i="2" s="1"/>
  <c r="D22" i="2" s="1"/>
  <c r="D26" i="2" s="1"/>
  <c r="C14" i="2"/>
  <c r="F12" i="1"/>
  <c r="E11" i="1"/>
  <c r="D8" i="1"/>
  <c r="D7" i="1"/>
  <c r="D9" i="1" s="1"/>
  <c r="D4" i="1"/>
  <c r="B8" i="1" s="1"/>
  <c r="C4" i="1"/>
  <c r="B7" i="1" s="1"/>
  <c r="C28" i="11" l="1"/>
  <c r="C29" i="11" s="1"/>
  <c r="D18" i="11"/>
  <c r="D20" i="11" s="1"/>
  <c r="F18" i="11"/>
  <c r="F20" i="11" s="1"/>
  <c r="C39" i="11"/>
  <c r="E15" i="10"/>
  <c r="F15" i="10" s="1"/>
  <c r="D16" i="10"/>
  <c r="D17" i="10" s="1"/>
  <c r="D15" i="10"/>
  <c r="G79" i="9"/>
  <c r="G60" i="9"/>
  <c r="F60" i="9"/>
  <c r="C60" i="9"/>
  <c r="I60" i="9" s="1"/>
  <c r="E60" i="9"/>
  <c r="D60" i="9"/>
  <c r="E49" i="9"/>
  <c r="E50" i="9" s="1"/>
  <c r="E51" i="9" s="1"/>
  <c r="H60" i="9"/>
  <c r="A81" i="9"/>
  <c r="H34" i="9"/>
  <c r="G34" i="9"/>
  <c r="F34" i="9"/>
  <c r="E34" i="9"/>
  <c r="I34" i="9" s="1"/>
  <c r="E78" i="9"/>
  <c r="E81" i="9" s="1"/>
  <c r="H35" i="9"/>
  <c r="F35" i="9"/>
  <c r="G35" i="9"/>
  <c r="E35" i="9"/>
  <c r="I35" i="9" s="1"/>
  <c r="D36" i="9"/>
  <c r="E48" i="9"/>
  <c r="G89" i="9"/>
  <c r="E79" i="9"/>
  <c r="A83" i="9" s="1"/>
  <c r="E22" i="9"/>
  <c r="E23" i="9" s="1"/>
  <c r="B9" i="3"/>
  <c r="C22" i="2"/>
  <c r="C26" i="2" s="1"/>
  <c r="E30" i="2" s="1"/>
  <c r="E32" i="2" s="1"/>
  <c r="E33" i="2" s="1"/>
  <c r="D17" i="2"/>
  <c r="D19" i="2" s="1"/>
  <c r="B9" i="1"/>
  <c r="C10" i="1" s="1"/>
  <c r="C11" i="1" s="1"/>
  <c r="B12" i="1"/>
  <c r="C38" i="11" l="1"/>
  <c r="C40" i="11" s="1"/>
  <c r="E22" i="11"/>
  <c r="D24" i="11" s="1"/>
  <c r="C32" i="11" s="1"/>
  <c r="C34" i="11" s="1"/>
  <c r="C35" i="11" s="1"/>
  <c r="E13" i="10"/>
  <c r="F13" i="10" s="1"/>
  <c r="E14" i="10"/>
  <c r="F14" i="10" s="1"/>
  <c r="E12" i="10"/>
  <c r="F12" i="10" s="1"/>
  <c r="H61" i="9"/>
  <c r="G61" i="9"/>
  <c r="F61" i="9"/>
  <c r="E61" i="9"/>
  <c r="D61" i="9"/>
  <c r="F33" i="9"/>
  <c r="F36" i="9" s="1"/>
  <c r="E33" i="9"/>
  <c r="H33" i="9"/>
  <c r="H36" i="9" s="1"/>
  <c r="G33" i="9"/>
  <c r="G36" i="9" s="1"/>
  <c r="D62" i="9"/>
  <c r="D63" i="9" s="1"/>
  <c r="E54" i="9"/>
  <c r="E55" i="9" s="1"/>
  <c r="E56" i="9" s="1"/>
  <c r="C61" i="9"/>
  <c r="C63" i="9" s="1"/>
  <c r="G83" i="9"/>
  <c r="A84" i="9" s="1"/>
  <c r="D12" i="1"/>
  <c r="C13" i="1" s="1"/>
  <c r="G11" i="1"/>
  <c r="F16" i="10" l="1"/>
  <c r="F63" i="9"/>
  <c r="H96" i="9"/>
  <c r="G96" i="9"/>
  <c r="F96" i="9"/>
  <c r="E96" i="9"/>
  <c r="C96" i="9"/>
  <c r="B96" i="9"/>
  <c r="A86" i="9"/>
  <c r="A87" i="9" s="1"/>
  <c r="E62" i="9"/>
  <c r="E63" i="9" s="1"/>
  <c r="H62" i="9"/>
  <c r="H63" i="9" s="1"/>
  <c r="F62" i="9"/>
  <c r="G62" i="9"/>
  <c r="G63" i="9" s="1"/>
  <c r="I61" i="9"/>
  <c r="E36" i="9"/>
  <c r="I33" i="9"/>
  <c r="I36" i="9" s="1"/>
  <c r="D95" i="9" l="1"/>
  <c r="H95" i="9"/>
  <c r="E95" i="9"/>
  <c r="G95" i="9"/>
  <c r="A89" i="9"/>
  <c r="A90" i="9" s="1"/>
  <c r="F95" i="9"/>
  <c r="B95" i="9"/>
  <c r="I63" i="9"/>
  <c r="D96" i="9"/>
  <c r="I96" i="9" s="1"/>
  <c r="I62" i="9"/>
  <c r="E94" i="9" l="1"/>
  <c r="E97" i="9" s="1"/>
  <c r="H94" i="9"/>
  <c r="H97" i="9" s="1"/>
  <c r="D94" i="9"/>
  <c r="D97" i="9" s="1"/>
  <c r="G94" i="9"/>
  <c r="G97" i="9" s="1"/>
  <c r="F94" i="9"/>
  <c r="F97" i="9" s="1"/>
  <c r="C94" i="9"/>
  <c r="C95" i="9"/>
  <c r="I95" i="9" s="1"/>
  <c r="C97" i="9" l="1"/>
  <c r="B94" i="9"/>
  <c r="I94" i="9" l="1"/>
  <c r="I97" i="9" s="1"/>
  <c r="B97" i="9"/>
</calcChain>
</file>

<file path=xl/sharedStrings.xml><?xml version="1.0" encoding="utf-8"?>
<sst xmlns="http://schemas.openxmlformats.org/spreadsheetml/2006/main" count="347" uniqueCount="196">
  <si>
    <t>Daten</t>
  </si>
  <si>
    <t>Monat 1</t>
  </si>
  <si>
    <t>Monat 2</t>
  </si>
  <si>
    <t>Beschäftigung (h)</t>
  </si>
  <si>
    <t>Gesamtkosten (EUR)</t>
  </si>
  <si>
    <t>Ableitung Kostenfunktion</t>
  </si>
  <si>
    <r>
      <t>EUR = k</t>
    </r>
    <r>
      <rPr>
        <vertAlign val="subscript"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 *</t>
    </r>
  </si>
  <si>
    <r>
      <t>h + K</t>
    </r>
    <r>
      <rPr>
        <vertAlign val="subscript"/>
        <sz val="11"/>
        <color theme="1"/>
        <rFont val="Arial"/>
        <family val="2"/>
      </rPr>
      <t>f</t>
    </r>
  </si>
  <si>
    <t>Differenz</t>
  </si>
  <si>
    <t xml:space="preserve">t   </t>
  </si>
  <si>
    <r>
      <rPr>
        <b/>
        <sz val="11"/>
        <color theme="1"/>
        <rFont val="Arial"/>
        <family val="2"/>
      </rPr>
      <t>k</t>
    </r>
    <r>
      <rPr>
        <b/>
        <vertAlign val="subscript"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 =</t>
    </r>
  </si>
  <si>
    <t>EUR/h</t>
  </si>
  <si>
    <r>
      <t xml:space="preserve"> </t>
    </r>
    <r>
      <rPr>
        <b/>
        <sz val="11"/>
        <color theme="1"/>
        <rFont val="Arial"/>
        <family val="2"/>
      </rPr>
      <t>K</t>
    </r>
    <r>
      <rPr>
        <b/>
        <vertAlign val="subscript"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 =</t>
    </r>
  </si>
  <si>
    <t>EUR/h *</t>
  </si>
  <si>
    <t>h =</t>
  </si>
  <si>
    <t>EUR</t>
  </si>
  <si>
    <t xml:space="preserve">EUR =  </t>
  </si>
  <si>
    <r>
      <t>K</t>
    </r>
    <r>
      <rPr>
        <b/>
        <vertAlign val="subscript"/>
        <sz val="11"/>
        <color theme="1"/>
        <rFont val="Arial"/>
        <family val="2"/>
      </rPr>
      <t>f</t>
    </r>
    <r>
      <rPr>
        <b/>
        <sz val="11"/>
        <color theme="1"/>
        <rFont val="Arial"/>
        <family val="2"/>
      </rPr>
      <t xml:space="preserve"> =</t>
    </r>
  </si>
  <si>
    <t>Artikel</t>
  </si>
  <si>
    <t>I</t>
  </si>
  <si>
    <t>II</t>
  </si>
  <si>
    <t>III</t>
  </si>
  <si>
    <t>IV</t>
  </si>
  <si>
    <t>Produktions- und Absatzmenge (ME)</t>
  </si>
  <si>
    <t>Nettoumsatzerlöse (EUR)</t>
  </si>
  <si>
    <t>var. Gemeinkosten (EUR/ME)</t>
  </si>
  <si>
    <t>Einzelkosten (EUR/ME)</t>
  </si>
  <si>
    <t xml:space="preserve">var. Stückkosten </t>
  </si>
  <si>
    <t>Fertigungszeit (min/ME)</t>
  </si>
  <si>
    <t>Fixkosten (EUR)</t>
  </si>
  <si>
    <t>Ermittlung Betriebsergebnis</t>
  </si>
  <si>
    <t>./. variable Kosten (EUR)</t>
  </si>
  <si>
    <t>Produkt-DB (EUR)</t>
  </si>
  <si>
    <t>DB gesamt (EUR)</t>
  </si>
  <si>
    <t>./. Fixkosten (EUR)</t>
  </si>
  <si>
    <t>= Betriebsergebnis (EUR)</t>
  </si>
  <si>
    <t>Ermittlung Stückdeckungsbeiträge / Reihenfolge Förderungswürdigkeit bei bestehenden Kapazitäten</t>
  </si>
  <si>
    <t>-&gt; (EUR/ME)</t>
  </si>
  <si>
    <t>-&gt; Reihenfolge</t>
  </si>
  <si>
    <t>Ermittlung relative Deckungsbeiträge</t>
  </si>
  <si>
    <t>-&gt; (EUR/Min)</t>
  </si>
  <si>
    <t>Ermittlung kurzfristige Preisuntergrenze D</t>
  </si>
  <si>
    <t>Verdrängung bislang schlechtester relativer Stückdeckungsbeitrag</t>
  </si>
  <si>
    <t>relativer Stückdeckungsbeitrag IV muss ebenso hoch sein (EUR/min)</t>
  </si>
  <si>
    <t>relative variable Stückkosten von IV sind (EUR/min)</t>
  </si>
  <si>
    <t>relativer Umsatz von IV muss sein (EUR/min)</t>
  </si>
  <si>
    <t>das ist je ME (EUR)</t>
  </si>
  <si>
    <t>a)</t>
  </si>
  <si>
    <t>Anschaffungskosten</t>
  </si>
  <si>
    <t>Gesamtbestand</t>
  </si>
  <si>
    <t>t</t>
  </si>
  <si>
    <t>Abschreibung je t</t>
  </si>
  <si>
    <t>Abbaumenge</t>
  </si>
  <si>
    <t>Abschreibung</t>
  </si>
  <si>
    <t>b)</t>
  </si>
  <si>
    <t>Wiederbeschaffungskosten</t>
  </si>
  <si>
    <t>Liquidationserlös</t>
  </si>
  <si>
    <t>Gesamtproduktionsmenge</t>
  </si>
  <si>
    <t>ME</t>
  </si>
  <si>
    <t>Produktionsmenge in einem Jahr</t>
  </si>
  <si>
    <t>-&gt; Abschreibung</t>
  </si>
  <si>
    <t>Dubiose</t>
  </si>
  <si>
    <t>Forderungen</t>
  </si>
  <si>
    <t>Abschr. Ford.</t>
  </si>
  <si>
    <t>Abschr. Ford</t>
  </si>
  <si>
    <t>ber. Ust</t>
  </si>
  <si>
    <t>Bank</t>
  </si>
  <si>
    <t>s.b. Aufw.</t>
  </si>
  <si>
    <t>c)</t>
  </si>
  <si>
    <t>Ermittlung Pauschalwertberichtigung</t>
  </si>
  <si>
    <t>Basis: ansonsten sicherer Forderungsbestand</t>
  </si>
  <si>
    <t>netto</t>
  </si>
  <si>
    <t>PWB-Satz %)</t>
  </si>
  <si>
    <t>-&gt;</t>
  </si>
  <si>
    <t>zugehöriger Buchungssatz (indirekt)</t>
  </si>
  <si>
    <t>PWB Ford.</t>
  </si>
  <si>
    <t>Änderungen bei schon einzelwertberichtigter Forderung</t>
  </si>
  <si>
    <t>keine</t>
  </si>
  <si>
    <t>Buchungssätze</t>
  </si>
  <si>
    <t>LuG-Aufwand</t>
  </si>
  <si>
    <t>Rückstellungen</t>
  </si>
  <si>
    <t>Garantieaufwand</t>
  </si>
  <si>
    <t>Mietaufwand</t>
  </si>
  <si>
    <t>Verbindl. LuL</t>
  </si>
  <si>
    <t>d)</t>
  </si>
  <si>
    <t>Reparaturaufwand</t>
  </si>
  <si>
    <t>e)</t>
  </si>
  <si>
    <t>Aufwandsrückstellung (3-Monats-Frist)</t>
  </si>
  <si>
    <t>f)</t>
  </si>
  <si>
    <t>keine Buchung, da private Verpflichtung</t>
  </si>
  <si>
    <t xml:space="preserve">Buchwert </t>
  </si>
  <si>
    <t>(TEUR)</t>
  </si>
  <si>
    <t>Wiederbeschaffungs-</t>
  </si>
  <si>
    <t>Anfangsbestand</t>
  </si>
  <si>
    <t>Endbestand</t>
  </si>
  <si>
    <t>kosten (TEUR)</t>
  </si>
  <si>
    <t>unbebaute Grundstücke</t>
  </si>
  <si>
    <t>Wohngebäude</t>
  </si>
  <si>
    <t>Geschäftsgebäude</t>
  </si>
  <si>
    <t>Maschinen</t>
  </si>
  <si>
    <t>Fuhrpark</t>
  </si>
  <si>
    <t>Vorräte</t>
  </si>
  <si>
    <t>-</t>
  </si>
  <si>
    <t xml:space="preserve">Forderungen </t>
  </si>
  <si>
    <t>Wertpapiere des UV</t>
  </si>
  <si>
    <t>liquide Mittel</t>
  </si>
  <si>
    <t>nicht betrieblich genutzt</t>
  </si>
  <si>
    <t>Zinssatz (%)</t>
  </si>
  <si>
    <t>Ermittlung kalkulatorischer Zinsen</t>
  </si>
  <si>
    <t>betriebsnotwendiges Vermögen</t>
  </si>
  <si>
    <t>betriebsnotwendiges AV zu halben Wiederbeschaffungskosten</t>
  </si>
  <si>
    <t>betriebsnotwendiges UV zu Durchschnittswerten</t>
  </si>
  <si>
    <t>-&gt; (TEUR)</t>
  </si>
  <si>
    <t>betriebsnotwendiges Kapital</t>
  </si>
  <si>
    <t>da voll fremdfinanziert, kein Abzugskapital</t>
  </si>
  <si>
    <t>-&gt; kalkulatorische Zinsen</t>
  </si>
  <si>
    <t>p.a.</t>
  </si>
  <si>
    <t>pro Monat</t>
  </si>
  <si>
    <t>Strom</t>
  </si>
  <si>
    <t>Dampf</t>
  </si>
  <si>
    <t>Werkstatt</t>
  </si>
  <si>
    <t>Montage</t>
  </si>
  <si>
    <t>Verwaltung</t>
  </si>
  <si>
    <t>Vertrieb</t>
  </si>
  <si>
    <t>Gesamt</t>
  </si>
  <si>
    <t>primäre Gemeinkosten</t>
  </si>
  <si>
    <t>innerbetrieblicher Leistungsaustausch (mengenmäßig)</t>
  </si>
  <si>
    <t>Strom in kWh an</t>
  </si>
  <si>
    <t>Dampf in cbm an</t>
  </si>
  <si>
    <t>Fuhrpark in tkm an</t>
  </si>
  <si>
    <r>
      <t xml:space="preserve">Verrechnungssätze nach dem </t>
    </r>
    <r>
      <rPr>
        <b/>
        <sz val="11"/>
        <color theme="1"/>
        <rFont val="Arial"/>
        <family val="2"/>
      </rPr>
      <t>Anbau-/Blockverfahren</t>
    </r>
  </si>
  <si>
    <t>an Hauptkostenstellen abgegeben</t>
  </si>
  <si>
    <t>Verrechnungssatz</t>
  </si>
  <si>
    <t>Verrechnung Strom</t>
  </si>
  <si>
    <t>Verrechnung Dampf</t>
  </si>
  <si>
    <t>Verrechnung Fuhrpark</t>
  </si>
  <si>
    <r>
      <t xml:space="preserve">Verrechnungssätze nach dem </t>
    </r>
    <r>
      <rPr>
        <b/>
        <sz val="11"/>
        <color theme="1"/>
        <rFont val="Arial"/>
        <family val="2"/>
      </rPr>
      <t>Stufenleiter- / Treppenverfahren</t>
    </r>
  </si>
  <si>
    <t>an nachfolgende Kostenstellen abgegeben</t>
  </si>
  <si>
    <t>von vorhergehenden KoSt übernommen</t>
  </si>
  <si>
    <t>zu verteilende Kosten</t>
  </si>
  <si>
    <r>
      <t xml:space="preserve">Verrechnungssätze nach dem </t>
    </r>
    <r>
      <rPr>
        <b/>
        <sz val="11"/>
        <color theme="1"/>
        <rFont val="Arial"/>
        <family val="2"/>
      </rPr>
      <t>Gleichungsverfahren</t>
    </r>
  </si>
  <si>
    <t>1) Grundgleichungen</t>
  </si>
  <si>
    <t>+</t>
  </si>
  <si>
    <t>D +</t>
  </si>
  <si>
    <t>F =</t>
  </si>
  <si>
    <t>S</t>
  </si>
  <si>
    <t xml:space="preserve">S + </t>
  </si>
  <si>
    <t>D</t>
  </si>
  <si>
    <t>D =</t>
  </si>
  <si>
    <t>F</t>
  </si>
  <si>
    <t>2) erste Gleichung nach Unbekannter auflösen</t>
  </si>
  <si>
    <t>3) in beide andere Gleichungen einsetzen</t>
  </si>
  <si>
    <t>4) zweite Gleichung nach Unbekannter auflösen</t>
  </si>
  <si>
    <t>5) in letzte Gleichung einsetzen</t>
  </si>
  <si>
    <t>=</t>
  </si>
  <si>
    <t>6) in vorletzte Gleichung einsetzen</t>
  </si>
  <si>
    <t>7) in erste Gleichung einsetzen</t>
  </si>
  <si>
    <t>Sorte</t>
  </si>
  <si>
    <t>Menge (ME)</t>
  </si>
  <si>
    <t>Abweichung Kosten gegenüber B (%)</t>
  </si>
  <si>
    <t>A</t>
  </si>
  <si>
    <t>B</t>
  </si>
  <si>
    <t>C</t>
  </si>
  <si>
    <t>Ermittlung Kosten je ME und Gesamtkosten je Sorte</t>
  </si>
  <si>
    <t>Äquivalenzziffer</t>
  </si>
  <si>
    <t>Recheneinheiten</t>
  </si>
  <si>
    <t>Selbstkosten (EUR/ME)</t>
  </si>
  <si>
    <t>Selbstkosten je Sorte (EUR)</t>
  </si>
  <si>
    <t>Kosten je Recheneinheit (EUR/ME)</t>
  </si>
  <si>
    <t>Unternehmensbereich</t>
  </si>
  <si>
    <t>Erzeugnisse</t>
  </si>
  <si>
    <t>E</t>
  </si>
  <si>
    <t>Verkaufspreise (EUR/ME)</t>
  </si>
  <si>
    <t>variable Stückkosten (EUR/ME)</t>
  </si>
  <si>
    <t>Absatzmenge (ME)</t>
  </si>
  <si>
    <t>Erzeugnisfixkosten (EUR)</t>
  </si>
  <si>
    <t>Erzeugnisgruppenfixkosten (EUR)</t>
  </si>
  <si>
    <t>Unternehmensfixkosten</t>
  </si>
  <si>
    <t>Stückdeckungsbeitrag (EUR/ME)</t>
  </si>
  <si>
    <t>Deckungsbeitrag I (EUR)</t>
  </si>
  <si>
    <t>Deckungsbeitrag II (EUR)</t>
  </si>
  <si>
    <t>Deckungsbeitrag III (EUR)</t>
  </si>
  <si>
    <t>Betreibsergebnis (EUR)</t>
  </si>
  <si>
    <t>Absatzmenge C für DB II von C von Null</t>
  </si>
  <si>
    <t>Erzeugnisfixkosten C (EUR)</t>
  </si>
  <si>
    <t>Stückdeckungsbeitrag C (EUR/ME)</t>
  </si>
  <si>
    <t>-&gt; erforderliche MEs</t>
  </si>
  <si>
    <t>Preis C für Betriebsergebnis von 0,-</t>
  </si>
  <si>
    <t>Betriebsergebnis (EUR)</t>
  </si>
  <si>
    <t>Absatzmenge C (ME)</t>
  </si>
  <si>
    <t>-&gt; mögliche Preissenkung (EUR/ME)</t>
  </si>
  <si>
    <t>-&gt; neuer Preis C (EUR/ME)</t>
  </si>
  <si>
    <t>Ersatz C durch E bei gleichem Betriebsergebnis</t>
  </si>
  <si>
    <t>DB II von C (EUR)</t>
  </si>
  <si>
    <t>Stückdeckungsbeitrag E (EUR/ME)</t>
  </si>
  <si>
    <t>-&gt; erforderliche MEs von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</si>
</sst>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0" fillId="0" borderId="12" xfId="0" applyBorder="1"/>
    <xf numFmtId="0" fontId="0" fillId="0" borderId="13" xfId="0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0" xfId="0" applyNumberFormat="1"/>
    <xf numFmtId="0" fontId="0" fillId="0" borderId="0" xfId="0" quotePrefix="1"/>
    <xf numFmtId="4" fontId="0" fillId="0" borderId="0" xfId="0" quotePrefix="1" applyNumberFormat="1"/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6" xfId="0" applyNumberFormat="1" applyBorder="1" applyAlignment="1">
      <alignment horizontal="center"/>
    </xf>
    <xf numFmtId="0" fontId="0" fillId="0" borderId="32" xfId="0" applyBorder="1"/>
    <xf numFmtId="3" fontId="0" fillId="0" borderId="21" xfId="0" applyNumberFormat="1" applyBorder="1" applyAlignment="1">
      <alignment horizontal="center"/>
    </xf>
    <xf numFmtId="0" fontId="4" fillId="0" borderId="0" xfId="0" applyFont="1"/>
    <xf numFmtId="3" fontId="0" fillId="0" borderId="1" xfId="0" applyNumberFormat="1" applyBorder="1"/>
    <xf numFmtId="4" fontId="0" fillId="0" borderId="33" xfId="0" applyNumberFormat="1" applyBorder="1"/>
    <xf numFmtId="4" fontId="0" fillId="0" borderId="34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37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4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0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4" fontId="0" fillId="0" borderId="49" xfId="0" applyNumberFormat="1" applyBorder="1"/>
    <xf numFmtId="4" fontId="0" fillId="0" borderId="50" xfId="0" applyNumberFormat="1" applyBorder="1"/>
    <xf numFmtId="4" fontId="0" fillId="0" borderId="51" xfId="0" applyNumberFormat="1" applyBorder="1"/>
    <xf numFmtId="4" fontId="4" fillId="0" borderId="0" xfId="0" applyNumberFormat="1" applyFont="1"/>
    <xf numFmtId="4" fontId="0" fillId="0" borderId="52" xfId="0" applyNumberFormat="1" applyBorder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53" xfId="0" applyBorder="1"/>
    <xf numFmtId="0" fontId="0" fillId="0" borderId="54" xfId="0" applyBorder="1" applyAlignment="1">
      <alignment horizontal="right"/>
    </xf>
    <xf numFmtId="0" fontId="0" fillId="0" borderId="4" xfId="0" applyBorder="1"/>
    <xf numFmtId="0" fontId="0" fillId="0" borderId="54" xfId="0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4" fontId="0" fillId="0" borderId="61" xfId="0" applyNumberFormat="1" applyBorder="1"/>
    <xf numFmtId="4" fontId="0" fillId="0" borderId="58" xfId="0" applyNumberFormat="1" applyBorder="1"/>
    <xf numFmtId="4" fontId="0" fillId="0" borderId="62" xfId="0" applyNumberFormat="1" applyBorder="1"/>
    <xf numFmtId="4" fontId="0" fillId="0" borderId="60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62" xfId="0" applyNumberFormat="1" applyBorder="1"/>
    <xf numFmtId="3" fontId="0" fillId="0" borderId="60" xfId="0" applyNumberFormat="1" applyBorder="1"/>
    <xf numFmtId="0" fontId="0" fillId="0" borderId="63" xfId="0" applyBorder="1"/>
    <xf numFmtId="4" fontId="0" fillId="0" borderId="64" xfId="0" applyNumberFormat="1" applyBorder="1"/>
    <xf numFmtId="4" fontId="0" fillId="0" borderId="65" xfId="0" applyNumberFormat="1" applyBorder="1"/>
    <xf numFmtId="0" fontId="0" fillId="0" borderId="9" xfId="0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8" xfId="0" applyBorder="1"/>
    <xf numFmtId="0" fontId="0" fillId="0" borderId="66" xfId="0" applyBorder="1" applyAlignment="1">
      <alignment horizontal="center"/>
    </xf>
    <xf numFmtId="4" fontId="0" fillId="0" borderId="67" xfId="0" applyNumberFormat="1" applyBorder="1"/>
    <xf numFmtId="3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003F-5D5F-49F9-8236-C6B55F1CEECB}">
  <dimension ref="A1:D6"/>
  <sheetViews>
    <sheetView workbookViewId="0">
      <selection activeCell="A7" sqref="A7"/>
    </sheetView>
  </sheetViews>
  <sheetFormatPr baseColWidth="10" defaultColWidth="10.625" defaultRowHeight="14.25" x14ac:dyDescent="0.2"/>
  <cols>
    <col min="1" max="16384" width="10.625" style="2"/>
  </cols>
  <sheetData>
    <row r="1" spans="1:4" x14ac:dyDescent="0.2">
      <c r="A1" s="2" t="s">
        <v>61</v>
      </c>
      <c r="B1" s="2">
        <f>11000+5500</f>
        <v>16500</v>
      </c>
      <c r="C1" s="2" t="s">
        <v>62</v>
      </c>
      <c r="D1" s="2">
        <f>B1</f>
        <v>16500</v>
      </c>
    </row>
    <row r="3" spans="1:4" x14ac:dyDescent="0.2">
      <c r="A3" s="2" t="s">
        <v>63</v>
      </c>
      <c r="B3" s="2">
        <f>11000/1.1*0.3</f>
        <v>3000</v>
      </c>
      <c r="C3" s="2" t="s">
        <v>61</v>
      </c>
      <c r="D3" s="2">
        <f>B3</f>
        <v>3000</v>
      </c>
    </row>
    <row r="5" spans="1:4" x14ac:dyDescent="0.2">
      <c r="A5" s="2" t="s">
        <v>64</v>
      </c>
      <c r="B5" s="2">
        <f>D5/1.1</f>
        <v>3999.9999999999995</v>
      </c>
      <c r="C5" s="2" t="s">
        <v>61</v>
      </c>
      <c r="D5" s="2">
        <f>5500*0.8</f>
        <v>4400</v>
      </c>
    </row>
    <row r="6" spans="1:4" x14ac:dyDescent="0.2">
      <c r="A6" s="2" t="s">
        <v>65</v>
      </c>
      <c r="B6" s="2">
        <f>B5*0.1</f>
        <v>400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20F4-DD99-49E0-947E-23C81F6188AB}">
  <sheetPr>
    <pageSetUpPr fitToPage="1"/>
  </sheetPr>
  <dimension ref="A1:F40"/>
  <sheetViews>
    <sheetView tabSelected="1" topLeftCell="A2" workbookViewId="0">
      <selection activeCell="C20" sqref="C20"/>
    </sheetView>
  </sheetViews>
  <sheetFormatPr baseColWidth="10" defaultRowHeight="14.25" x14ac:dyDescent="0.2"/>
  <cols>
    <col min="1" max="1" width="30.125" customWidth="1"/>
  </cols>
  <sheetData>
    <row r="1" spans="1:6" ht="15.75" thickBot="1" x14ac:dyDescent="0.3">
      <c r="A1" s="7" t="s">
        <v>0</v>
      </c>
    </row>
    <row r="2" spans="1:6" ht="15.75" thickTop="1" thickBot="1" x14ac:dyDescent="0.25">
      <c r="A2" s="80" t="s">
        <v>169</v>
      </c>
      <c r="B2" s="81" t="s">
        <v>19</v>
      </c>
      <c r="C2" s="82"/>
      <c r="D2" s="83"/>
      <c r="E2" s="84" t="s">
        <v>20</v>
      </c>
      <c r="F2" s="85"/>
    </row>
    <row r="3" spans="1:6" x14ac:dyDescent="0.2">
      <c r="A3" s="86" t="s">
        <v>170</v>
      </c>
      <c r="B3" s="87" t="s">
        <v>160</v>
      </c>
      <c r="C3" s="88" t="s">
        <v>161</v>
      </c>
      <c r="D3" s="13" t="s">
        <v>162</v>
      </c>
      <c r="E3" s="89" t="s">
        <v>147</v>
      </c>
      <c r="F3" s="90" t="s">
        <v>171</v>
      </c>
    </row>
    <row r="4" spans="1:6" x14ac:dyDescent="0.2">
      <c r="A4" s="86" t="s">
        <v>172</v>
      </c>
      <c r="B4" s="91">
        <v>1300</v>
      </c>
      <c r="C4" s="92">
        <v>1560</v>
      </c>
      <c r="D4" s="2">
        <v>1800</v>
      </c>
      <c r="E4" s="93">
        <v>3200</v>
      </c>
      <c r="F4" s="94">
        <v>5800</v>
      </c>
    </row>
    <row r="5" spans="1:6" x14ac:dyDescent="0.2">
      <c r="A5" s="86" t="s">
        <v>173</v>
      </c>
      <c r="B5" s="91">
        <v>970</v>
      </c>
      <c r="C5" s="92">
        <v>1230</v>
      </c>
      <c r="D5" s="2">
        <v>1600</v>
      </c>
      <c r="E5" s="93">
        <v>2870</v>
      </c>
      <c r="F5" s="94">
        <v>3800</v>
      </c>
    </row>
    <row r="6" spans="1:6" x14ac:dyDescent="0.2">
      <c r="A6" s="86" t="s">
        <v>174</v>
      </c>
      <c r="B6" s="95">
        <v>1500</v>
      </c>
      <c r="C6" s="96">
        <v>1700</v>
      </c>
      <c r="D6" s="29">
        <v>1250</v>
      </c>
      <c r="E6" s="97">
        <v>500</v>
      </c>
      <c r="F6" s="98">
        <v>400</v>
      </c>
    </row>
    <row r="7" spans="1:6" x14ac:dyDescent="0.2">
      <c r="A7" s="86" t="s">
        <v>175</v>
      </c>
      <c r="B7" s="91">
        <v>200000</v>
      </c>
      <c r="C7" s="92">
        <v>250000</v>
      </c>
      <c r="D7" s="2">
        <v>150000</v>
      </c>
      <c r="E7" s="93">
        <v>200000</v>
      </c>
      <c r="F7" s="94">
        <v>362000</v>
      </c>
    </row>
    <row r="8" spans="1:6" x14ac:dyDescent="0.2">
      <c r="A8" s="86" t="s">
        <v>176</v>
      </c>
      <c r="B8" s="2">
        <v>342000</v>
      </c>
      <c r="C8" s="92"/>
      <c r="D8" s="2"/>
      <c r="E8" s="2">
        <v>375000</v>
      </c>
      <c r="F8" s="94"/>
    </row>
    <row r="9" spans="1:6" ht="15" thickBot="1" x14ac:dyDescent="0.25">
      <c r="A9" s="99" t="s">
        <v>177</v>
      </c>
      <c r="B9" s="100"/>
      <c r="C9" s="100"/>
      <c r="D9" s="100">
        <v>292000</v>
      </c>
      <c r="E9" s="100"/>
      <c r="F9" s="101"/>
    </row>
    <row r="10" spans="1:6" ht="15" thickTop="1" x14ac:dyDescent="0.2"/>
    <row r="11" spans="1:6" ht="15" x14ac:dyDescent="0.25">
      <c r="A11" s="7" t="s">
        <v>30</v>
      </c>
    </row>
    <row r="12" spans="1:6" x14ac:dyDescent="0.2">
      <c r="A12" s="102" t="s">
        <v>169</v>
      </c>
      <c r="B12" s="103" t="s">
        <v>19</v>
      </c>
      <c r="C12" s="102"/>
      <c r="D12" s="104"/>
      <c r="E12" s="105" t="s">
        <v>20</v>
      </c>
      <c r="F12" s="104"/>
    </row>
    <row r="13" spans="1:6" x14ac:dyDescent="0.2">
      <c r="A13" s="106" t="s">
        <v>170</v>
      </c>
      <c r="B13" s="107" t="s">
        <v>160</v>
      </c>
      <c r="C13" s="88" t="s">
        <v>161</v>
      </c>
      <c r="D13" s="13" t="s">
        <v>162</v>
      </c>
      <c r="E13" s="107" t="s">
        <v>147</v>
      </c>
      <c r="F13" s="13" t="s">
        <v>171</v>
      </c>
    </row>
    <row r="14" spans="1:6" x14ac:dyDescent="0.2">
      <c r="A14" s="106" t="s">
        <v>172</v>
      </c>
      <c r="B14" s="93">
        <f>B4</f>
        <v>1300</v>
      </c>
      <c r="C14" s="92">
        <f t="shared" ref="C14:F14" si="0">C4</f>
        <v>1560</v>
      </c>
      <c r="D14" s="2">
        <f t="shared" si="0"/>
        <v>1800</v>
      </c>
      <c r="E14" s="93">
        <f t="shared" si="0"/>
        <v>3200</v>
      </c>
      <c r="F14" s="2">
        <f t="shared" si="0"/>
        <v>5800</v>
      </c>
    </row>
    <row r="15" spans="1:6" x14ac:dyDescent="0.2">
      <c r="A15" s="106" t="s">
        <v>173</v>
      </c>
      <c r="B15" s="56">
        <f t="shared" ref="B15:F15" si="1">B5</f>
        <v>970</v>
      </c>
      <c r="C15" s="55">
        <f t="shared" si="1"/>
        <v>1230</v>
      </c>
      <c r="D15" s="4">
        <f t="shared" si="1"/>
        <v>1600</v>
      </c>
      <c r="E15" s="56">
        <f t="shared" si="1"/>
        <v>2870</v>
      </c>
      <c r="F15" s="4">
        <f t="shared" si="1"/>
        <v>3800</v>
      </c>
    </row>
    <row r="16" spans="1:6" x14ac:dyDescent="0.2">
      <c r="A16" s="106" t="s">
        <v>178</v>
      </c>
      <c r="B16" s="93">
        <f>B14-B15</f>
        <v>330</v>
      </c>
      <c r="C16" s="92">
        <f t="shared" ref="C16:F16" si="2">C14-C15</f>
        <v>330</v>
      </c>
      <c r="D16" s="2">
        <f t="shared" si="2"/>
        <v>200</v>
      </c>
      <c r="E16" s="93">
        <f t="shared" si="2"/>
        <v>330</v>
      </c>
      <c r="F16" s="2">
        <f t="shared" si="2"/>
        <v>2000</v>
      </c>
    </row>
    <row r="17" spans="1:6" x14ac:dyDescent="0.2">
      <c r="A17" s="106" t="s">
        <v>174</v>
      </c>
      <c r="B17" s="17">
        <f t="shared" ref="B17:F17" si="3">B6</f>
        <v>1500</v>
      </c>
      <c r="C17" s="16">
        <f t="shared" si="3"/>
        <v>1700</v>
      </c>
      <c r="D17" s="49">
        <f t="shared" si="3"/>
        <v>1250</v>
      </c>
      <c r="E17" s="17">
        <f t="shared" si="3"/>
        <v>500</v>
      </c>
      <c r="F17" s="49">
        <f t="shared" si="3"/>
        <v>400</v>
      </c>
    </row>
    <row r="18" spans="1:6" x14ac:dyDescent="0.2">
      <c r="A18" s="106" t="s">
        <v>179</v>
      </c>
      <c r="B18" s="93">
        <f>B16*B17</f>
        <v>495000</v>
      </c>
      <c r="C18" s="92">
        <f t="shared" ref="C18:F18" si="4">C16*C17</f>
        <v>561000</v>
      </c>
      <c r="D18" s="2">
        <f t="shared" si="4"/>
        <v>250000</v>
      </c>
      <c r="E18" s="93">
        <f t="shared" si="4"/>
        <v>165000</v>
      </c>
      <c r="F18" s="2">
        <f t="shared" si="4"/>
        <v>800000</v>
      </c>
    </row>
    <row r="19" spans="1:6" x14ac:dyDescent="0.2">
      <c r="A19" s="106" t="s">
        <v>175</v>
      </c>
      <c r="B19" s="56">
        <f t="shared" ref="B19:F19" si="5">B7</f>
        <v>200000</v>
      </c>
      <c r="C19" s="55">
        <f t="shared" si="5"/>
        <v>250000</v>
      </c>
      <c r="D19" s="4">
        <f t="shared" si="5"/>
        <v>150000</v>
      </c>
      <c r="E19" s="56">
        <f t="shared" si="5"/>
        <v>200000</v>
      </c>
      <c r="F19" s="4">
        <f t="shared" si="5"/>
        <v>362000</v>
      </c>
    </row>
    <row r="20" spans="1:6" x14ac:dyDescent="0.2">
      <c r="A20" s="106" t="s">
        <v>180</v>
      </c>
      <c r="B20" s="93">
        <f>B18-B19</f>
        <v>295000</v>
      </c>
      <c r="C20" s="92">
        <f t="shared" ref="C20:F20" si="6">C18-C19</f>
        <v>311000</v>
      </c>
      <c r="D20" s="2">
        <f t="shared" si="6"/>
        <v>100000</v>
      </c>
      <c r="E20" s="93">
        <f t="shared" si="6"/>
        <v>-35000</v>
      </c>
      <c r="F20" s="2">
        <f t="shared" si="6"/>
        <v>438000</v>
      </c>
    </row>
    <row r="21" spans="1:6" x14ac:dyDescent="0.2">
      <c r="A21" s="106" t="s">
        <v>176</v>
      </c>
      <c r="B21" s="108">
        <f>B8</f>
        <v>342000</v>
      </c>
      <c r="C21" s="92"/>
      <c r="D21" s="2"/>
      <c r="E21" s="4">
        <f>E8</f>
        <v>375000</v>
      </c>
      <c r="F21" s="2"/>
    </row>
    <row r="22" spans="1:6" x14ac:dyDescent="0.2">
      <c r="A22" s="106" t="s">
        <v>181</v>
      </c>
      <c r="B22" s="2">
        <f>B20+C20-B21</f>
        <v>264000</v>
      </c>
      <c r="C22" s="92"/>
      <c r="D22" s="2"/>
      <c r="E22" s="2">
        <f>D20+E20+F20-E21</f>
        <v>128000</v>
      </c>
      <c r="F22" s="2"/>
    </row>
    <row r="23" spans="1:6" x14ac:dyDescent="0.2">
      <c r="A23" s="106" t="s">
        <v>177</v>
      </c>
      <c r="B23" s="2"/>
      <c r="C23" s="2"/>
      <c r="D23" s="4">
        <f>D9</f>
        <v>292000</v>
      </c>
      <c r="E23" s="2"/>
      <c r="F23" s="2"/>
    </row>
    <row r="24" spans="1:6" ht="15" x14ac:dyDescent="0.25">
      <c r="A24" s="106" t="s">
        <v>182</v>
      </c>
      <c r="D24" s="1">
        <f>B22+E22-D23</f>
        <v>100000</v>
      </c>
    </row>
    <row r="26" spans="1:6" ht="15" x14ac:dyDescent="0.25">
      <c r="A26" s="7" t="s">
        <v>183</v>
      </c>
    </row>
    <row r="27" spans="1:6" x14ac:dyDescent="0.2">
      <c r="A27" t="s">
        <v>184</v>
      </c>
      <c r="C27" s="2">
        <f>D19</f>
        <v>150000</v>
      </c>
    </row>
    <row r="28" spans="1:6" x14ac:dyDescent="0.2">
      <c r="A28" t="s">
        <v>185</v>
      </c>
      <c r="C28" s="2">
        <f>D16</f>
        <v>200</v>
      </c>
    </row>
    <row r="29" spans="1:6" ht="15" x14ac:dyDescent="0.25">
      <c r="A29" s="30" t="s">
        <v>186</v>
      </c>
      <c r="C29" s="109">
        <f>C27/C28</f>
        <v>750</v>
      </c>
    </row>
    <row r="30" spans="1:6" x14ac:dyDescent="0.2">
      <c r="A30" s="30"/>
    </row>
    <row r="31" spans="1:6" ht="15" x14ac:dyDescent="0.25">
      <c r="A31" s="7" t="s">
        <v>187</v>
      </c>
    </row>
    <row r="32" spans="1:6" x14ac:dyDescent="0.2">
      <c r="A32" t="s">
        <v>188</v>
      </c>
      <c r="C32" s="2">
        <f>D24</f>
        <v>100000</v>
      </c>
    </row>
    <row r="33" spans="1:3" x14ac:dyDescent="0.2">
      <c r="A33" t="s">
        <v>189</v>
      </c>
      <c r="C33" s="29">
        <f>D6</f>
        <v>1250</v>
      </c>
    </row>
    <row r="34" spans="1:3" x14ac:dyDescent="0.2">
      <c r="A34" s="30" t="s">
        <v>190</v>
      </c>
      <c r="C34" s="2">
        <f>C32/C33</f>
        <v>80</v>
      </c>
    </row>
    <row r="35" spans="1:3" ht="15" x14ac:dyDescent="0.25">
      <c r="A35" s="30" t="s">
        <v>191</v>
      </c>
      <c r="C35" s="1">
        <f>D4-C34</f>
        <v>1720</v>
      </c>
    </row>
    <row r="37" spans="1:3" ht="15" x14ac:dyDescent="0.25">
      <c r="A37" s="7" t="s">
        <v>192</v>
      </c>
    </row>
    <row r="38" spans="1:3" x14ac:dyDescent="0.2">
      <c r="A38" t="s">
        <v>193</v>
      </c>
      <c r="C38" s="2">
        <f>D20</f>
        <v>100000</v>
      </c>
    </row>
    <row r="39" spans="1:3" x14ac:dyDescent="0.2">
      <c r="A39" t="s">
        <v>194</v>
      </c>
      <c r="C39" s="2">
        <f>F16</f>
        <v>2000</v>
      </c>
    </row>
    <row r="40" spans="1:3" ht="15" x14ac:dyDescent="0.25">
      <c r="A40" s="30" t="s">
        <v>195</v>
      </c>
      <c r="C40" s="7">
        <f>C38/C39</f>
        <v>50</v>
      </c>
    </row>
  </sheetData>
  <pageMargins left="0.7" right="0.7" top="0.78740157499999996" bottom="0.78740157499999996" header="0.3" footer="0.3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1AE1-7FD3-4DCA-8B82-191C3287987D}">
  <sheetPr>
    <pageSetUpPr fitToPage="1"/>
  </sheetPr>
  <dimension ref="A1:G33"/>
  <sheetViews>
    <sheetView workbookViewId="0">
      <selection activeCell="F13" sqref="F13"/>
    </sheetView>
  </sheetViews>
  <sheetFormatPr baseColWidth="10" defaultRowHeight="14.25" x14ac:dyDescent="0.2"/>
  <cols>
    <col min="1" max="1" width="20.375" customWidth="1"/>
    <col min="2" max="2" width="11" customWidth="1"/>
  </cols>
  <sheetData>
    <row r="1" spans="1:7" ht="15.75" thickBot="1" x14ac:dyDescent="0.3">
      <c r="A1" s="7" t="s">
        <v>0</v>
      </c>
      <c r="B1" s="7"/>
    </row>
    <row r="2" spans="1:7" ht="15.75" thickTop="1" thickBot="1" x14ac:dyDescent="0.25">
      <c r="A2" s="8" t="s">
        <v>18</v>
      </c>
      <c r="B2" s="9"/>
      <c r="C2" s="10" t="s">
        <v>19</v>
      </c>
      <c r="D2" s="11" t="s">
        <v>20</v>
      </c>
      <c r="E2" s="12" t="s">
        <v>21</v>
      </c>
      <c r="F2" s="13" t="s">
        <v>22</v>
      </c>
    </row>
    <row r="3" spans="1:7" x14ac:dyDescent="0.2">
      <c r="A3" s="14" t="s">
        <v>23</v>
      </c>
      <c r="B3" s="15"/>
      <c r="C3" s="16">
        <v>3000</v>
      </c>
      <c r="D3" s="17">
        <v>5000</v>
      </c>
      <c r="E3" s="18">
        <v>4000</v>
      </c>
    </row>
    <row r="4" spans="1:7" x14ac:dyDescent="0.2">
      <c r="A4" s="19" t="s">
        <v>24</v>
      </c>
      <c r="B4" s="20"/>
      <c r="C4" s="21">
        <v>84000</v>
      </c>
      <c r="D4" s="22">
        <v>70000</v>
      </c>
      <c r="E4" s="23">
        <v>86000</v>
      </c>
    </row>
    <row r="5" spans="1:7" x14ac:dyDescent="0.2">
      <c r="A5" s="19" t="s">
        <v>25</v>
      </c>
      <c r="B5" s="20"/>
      <c r="C5" s="21">
        <v>1.2</v>
      </c>
      <c r="D5" s="22">
        <v>1</v>
      </c>
      <c r="E5" s="23">
        <v>0.7</v>
      </c>
      <c r="F5" s="2"/>
    </row>
    <row r="6" spans="1:7" x14ac:dyDescent="0.2">
      <c r="A6" s="19" t="s">
        <v>26</v>
      </c>
      <c r="B6" s="20"/>
      <c r="C6" s="21">
        <v>6.8</v>
      </c>
      <c r="D6" s="22">
        <v>3</v>
      </c>
      <c r="E6" s="23">
        <v>3.3</v>
      </c>
      <c r="F6" s="2">
        <v>18</v>
      </c>
      <c r="G6" t="s">
        <v>27</v>
      </c>
    </row>
    <row r="7" spans="1:7" ht="15" thickBot="1" x14ac:dyDescent="0.25">
      <c r="A7" s="24" t="s">
        <v>28</v>
      </c>
      <c r="B7" s="25"/>
      <c r="C7" s="26">
        <v>40</v>
      </c>
      <c r="D7" s="27">
        <v>10</v>
      </c>
      <c r="E7" s="28">
        <v>17</v>
      </c>
      <c r="F7" s="29">
        <v>12</v>
      </c>
    </row>
    <row r="8" spans="1:7" ht="7.5" customHeight="1" thickTop="1" x14ac:dyDescent="0.2"/>
    <row r="9" spans="1:7" x14ac:dyDescent="0.2">
      <c r="A9" t="s">
        <v>29</v>
      </c>
      <c r="C9" s="2">
        <v>80000</v>
      </c>
    </row>
    <row r="12" spans="1:7" ht="15" x14ac:dyDescent="0.25">
      <c r="A12" s="7" t="s">
        <v>30</v>
      </c>
    </row>
    <row r="13" spans="1:7" x14ac:dyDescent="0.2">
      <c r="C13" s="13" t="s">
        <v>19</v>
      </c>
      <c r="D13" s="13" t="s">
        <v>20</v>
      </c>
      <c r="E13" s="13" t="s">
        <v>21</v>
      </c>
    </row>
    <row r="14" spans="1:7" x14ac:dyDescent="0.2">
      <c r="A14" t="s">
        <v>24</v>
      </c>
      <c r="C14" s="2">
        <f>C4</f>
        <v>84000</v>
      </c>
      <c r="D14" s="2">
        <f>D4</f>
        <v>70000</v>
      </c>
      <c r="E14" s="2">
        <v>86000</v>
      </c>
    </row>
    <row r="15" spans="1:7" x14ac:dyDescent="0.2">
      <c r="A15" t="s">
        <v>31</v>
      </c>
      <c r="C15" s="4">
        <f>(C5+C6)*C3</f>
        <v>24000</v>
      </c>
      <c r="D15" s="4">
        <f>(D5+D6)*D3</f>
        <v>20000</v>
      </c>
      <c r="E15" s="4">
        <f>(E5+E6)*E3</f>
        <v>16000</v>
      </c>
    </row>
    <row r="16" spans="1:7" x14ac:dyDescent="0.2">
      <c r="A16" t="s">
        <v>32</v>
      </c>
      <c r="C16" s="2">
        <f>C14-C15</f>
        <v>60000</v>
      </c>
      <c r="D16" s="2">
        <f t="shared" ref="D16:E16" si="0">D14-D15</f>
        <v>50000</v>
      </c>
      <c r="E16" s="2">
        <f t="shared" si="0"/>
        <v>70000</v>
      </c>
    </row>
    <row r="17" spans="1:5" x14ac:dyDescent="0.2">
      <c r="A17" t="s">
        <v>33</v>
      </c>
      <c r="D17" s="2">
        <f>C16+D16+E16</f>
        <v>180000</v>
      </c>
    </row>
    <row r="18" spans="1:5" x14ac:dyDescent="0.2">
      <c r="A18" t="s">
        <v>34</v>
      </c>
      <c r="D18" s="4">
        <f>C9</f>
        <v>80000</v>
      </c>
    </row>
    <row r="19" spans="1:5" ht="15" x14ac:dyDescent="0.25">
      <c r="A19" s="30" t="s">
        <v>35</v>
      </c>
      <c r="D19" s="1">
        <f>D17-D18</f>
        <v>100000</v>
      </c>
    </row>
    <row r="21" spans="1:5" ht="15" x14ac:dyDescent="0.25">
      <c r="A21" s="7" t="s">
        <v>36</v>
      </c>
    </row>
    <row r="22" spans="1:5" x14ac:dyDescent="0.2">
      <c r="A22" s="30" t="s">
        <v>37</v>
      </c>
      <c r="C22" s="2">
        <f>C16/C3</f>
        <v>20</v>
      </c>
      <c r="D22" s="2">
        <f>D16/D3</f>
        <v>10</v>
      </c>
      <c r="E22" s="2">
        <f>E16/E3</f>
        <v>17.5</v>
      </c>
    </row>
    <row r="23" spans="1:5" x14ac:dyDescent="0.2">
      <c r="A23" s="30" t="s">
        <v>38</v>
      </c>
      <c r="C23">
        <v>1</v>
      </c>
      <c r="D23">
        <v>3</v>
      </c>
      <c r="E23">
        <v>2</v>
      </c>
    </row>
    <row r="25" spans="1:5" ht="15" x14ac:dyDescent="0.25">
      <c r="A25" s="7" t="s">
        <v>39</v>
      </c>
    </row>
    <row r="26" spans="1:5" x14ac:dyDescent="0.2">
      <c r="A26" s="30" t="s">
        <v>40</v>
      </c>
      <c r="C26" s="2">
        <f>C22/C7</f>
        <v>0.5</v>
      </c>
      <c r="D26" s="2">
        <f>D22/D7</f>
        <v>1</v>
      </c>
      <c r="E26" s="2">
        <f>E22/E7</f>
        <v>1.0294117647058822</v>
      </c>
    </row>
    <row r="28" spans="1:5" ht="15" x14ac:dyDescent="0.25">
      <c r="A28" s="7" t="s">
        <v>41</v>
      </c>
    </row>
    <row r="29" spans="1:5" x14ac:dyDescent="0.2">
      <c r="A29" t="s">
        <v>42</v>
      </c>
    </row>
    <row r="30" spans="1:5" x14ac:dyDescent="0.2">
      <c r="A30" t="s">
        <v>43</v>
      </c>
      <c r="E30" s="2">
        <f>C26</f>
        <v>0.5</v>
      </c>
    </row>
    <row r="31" spans="1:5" x14ac:dyDescent="0.2">
      <c r="A31" t="s">
        <v>44</v>
      </c>
      <c r="E31" s="2">
        <f>F6/F7</f>
        <v>1.5</v>
      </c>
    </row>
    <row r="32" spans="1:5" x14ac:dyDescent="0.2">
      <c r="A32" t="s">
        <v>45</v>
      </c>
      <c r="E32" s="2">
        <f>E30+E31</f>
        <v>2</v>
      </c>
    </row>
    <row r="33" spans="1:5" ht="15" x14ac:dyDescent="0.25">
      <c r="A33" t="s">
        <v>46</v>
      </c>
      <c r="E33" s="1">
        <f>E32*F7</f>
        <v>24</v>
      </c>
    </row>
  </sheetData>
  <pageMargins left="0.7" right="0.7" top="0.78740157499999996" bottom="0.78740157499999996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C5A5-194E-408D-B8CB-2B92745C2EAF}">
  <dimension ref="A1:D11"/>
  <sheetViews>
    <sheetView workbookViewId="0">
      <selection activeCell="A7" sqref="A7"/>
    </sheetView>
  </sheetViews>
  <sheetFormatPr baseColWidth="10" defaultColWidth="10.625" defaultRowHeight="14.25" x14ac:dyDescent="0.2"/>
  <cols>
    <col min="1" max="16384" width="10.625" style="2"/>
  </cols>
  <sheetData>
    <row r="1" spans="1:4" ht="15" x14ac:dyDescent="0.25">
      <c r="A1" s="1" t="s">
        <v>47</v>
      </c>
    </row>
    <row r="2" spans="1:4" x14ac:dyDescent="0.2">
      <c r="A2" s="2" t="s">
        <v>66</v>
      </c>
      <c r="B2" s="2">
        <f>0.6*11000</f>
        <v>6600</v>
      </c>
      <c r="C2" s="2" t="s">
        <v>61</v>
      </c>
      <c r="D2" s="2">
        <f>7000+1000</f>
        <v>8000</v>
      </c>
    </row>
    <row r="3" spans="1:4" x14ac:dyDescent="0.2">
      <c r="A3" s="2" t="s">
        <v>67</v>
      </c>
      <c r="B3" s="2">
        <f>7000-B2/1.1</f>
        <v>1000.0000000000009</v>
      </c>
    </row>
    <row r="4" spans="1:4" x14ac:dyDescent="0.2">
      <c r="A4" s="2" t="s">
        <v>65</v>
      </c>
      <c r="B4" s="2">
        <f>0.4*1000</f>
        <v>400</v>
      </c>
    </row>
    <row r="6" spans="1:4" ht="15" x14ac:dyDescent="0.25">
      <c r="A6" s="1" t="s">
        <v>54</v>
      </c>
    </row>
    <row r="7" spans="1:4" x14ac:dyDescent="0.2">
      <c r="A7" s="2" t="s">
        <v>66</v>
      </c>
      <c r="B7" s="2">
        <f>11000*0.7</f>
        <v>7699.9999999999991</v>
      </c>
      <c r="C7" s="2" t="s">
        <v>61</v>
      </c>
      <c r="D7" s="2">
        <f>D2</f>
        <v>8000</v>
      </c>
    </row>
    <row r="8" spans="1:4" x14ac:dyDescent="0.2">
      <c r="A8" s="2" t="s">
        <v>65</v>
      </c>
      <c r="B8" s="2">
        <f>0.3*1000</f>
        <v>300</v>
      </c>
    </row>
    <row r="10" spans="1:4" ht="15" x14ac:dyDescent="0.25">
      <c r="A10" s="1" t="s">
        <v>68</v>
      </c>
    </row>
    <row r="11" spans="1:4" x14ac:dyDescent="0.2">
      <c r="A11" s="2" t="s">
        <v>66</v>
      </c>
      <c r="B11" s="2">
        <f>0.2*5500</f>
        <v>1100</v>
      </c>
      <c r="C11" s="2" t="s">
        <v>61</v>
      </c>
      <c r="D11" s="2">
        <f>0.2*5500</f>
        <v>1100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03F4-6737-431F-89A3-75C6B88CB8BB}">
  <dimension ref="A1:E10"/>
  <sheetViews>
    <sheetView workbookViewId="0">
      <selection activeCell="A7" sqref="A7"/>
    </sheetView>
  </sheetViews>
  <sheetFormatPr baseColWidth="10" defaultColWidth="10.625" defaultRowHeight="14.25" x14ac:dyDescent="0.2"/>
  <cols>
    <col min="1" max="16384" width="10.625" style="2"/>
  </cols>
  <sheetData>
    <row r="1" spans="1:5" ht="15" x14ac:dyDescent="0.25">
      <c r="A1" s="1" t="s">
        <v>69</v>
      </c>
    </row>
    <row r="2" spans="1:5" x14ac:dyDescent="0.2">
      <c r="A2" s="2" t="s">
        <v>70</v>
      </c>
      <c r="E2" s="2">
        <v>440000</v>
      </c>
    </row>
    <row r="3" spans="1:5" x14ac:dyDescent="0.2">
      <c r="D3" s="2" t="s">
        <v>71</v>
      </c>
      <c r="E3" s="2">
        <f>E2/1.1</f>
        <v>399999.99999999994</v>
      </c>
    </row>
    <row r="4" spans="1:5" x14ac:dyDescent="0.2">
      <c r="A4" s="2" t="s">
        <v>72</v>
      </c>
      <c r="E4" s="2">
        <v>5</v>
      </c>
    </row>
    <row r="5" spans="1:5" ht="15" x14ac:dyDescent="0.25">
      <c r="A5" s="31" t="s">
        <v>73</v>
      </c>
      <c r="E5" s="1">
        <f>E4/100*E3</f>
        <v>20000</v>
      </c>
    </row>
    <row r="6" spans="1:5" ht="15" x14ac:dyDescent="0.25">
      <c r="A6" s="1" t="s">
        <v>74</v>
      </c>
    </row>
    <row r="7" spans="1:5" x14ac:dyDescent="0.2">
      <c r="A7" s="2" t="s">
        <v>63</v>
      </c>
      <c r="B7" s="2">
        <f>E5</f>
        <v>20000</v>
      </c>
      <c r="C7" s="2" t="s">
        <v>75</v>
      </c>
      <c r="D7" s="2">
        <f>B7</f>
        <v>20000</v>
      </c>
    </row>
    <row r="9" spans="1:5" ht="15" x14ac:dyDescent="0.25">
      <c r="A9" s="1" t="s">
        <v>76</v>
      </c>
    </row>
    <row r="10" spans="1:5" x14ac:dyDescent="0.2">
      <c r="A10" s="2" t="s">
        <v>77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CE23-ACBA-4188-90DC-11D37A9E787A}">
  <dimension ref="A1:G7"/>
  <sheetViews>
    <sheetView workbookViewId="0">
      <selection activeCell="G7" sqref="G7"/>
    </sheetView>
  </sheetViews>
  <sheetFormatPr baseColWidth="10" defaultRowHeight="14.25" x14ac:dyDescent="0.2"/>
  <cols>
    <col min="1" max="1" width="4.75" customWidth="1"/>
    <col min="2" max="2" width="25.75" customWidth="1"/>
    <col min="3" max="3" width="11" style="2"/>
    <col min="4" max="4" width="0.25" customWidth="1"/>
    <col min="5" max="5" width="25.75" customWidth="1"/>
    <col min="6" max="6" width="11" style="2"/>
  </cols>
  <sheetData>
    <row r="1" spans="1:7" ht="15" x14ac:dyDescent="0.25">
      <c r="A1" s="7" t="s">
        <v>78</v>
      </c>
    </row>
    <row r="2" spans="1:7" x14ac:dyDescent="0.2">
      <c r="A2" s="30" t="s">
        <v>47</v>
      </c>
      <c r="B2" t="s">
        <v>79</v>
      </c>
      <c r="C2" s="2">
        <v>30000</v>
      </c>
      <c r="E2" t="s">
        <v>80</v>
      </c>
      <c r="F2" s="2">
        <f>C2</f>
        <v>30000</v>
      </c>
    </row>
    <row r="3" spans="1:7" x14ac:dyDescent="0.2">
      <c r="A3" s="30" t="s">
        <v>54</v>
      </c>
      <c r="B3" t="s">
        <v>81</v>
      </c>
      <c r="C3" s="2">
        <v>11000</v>
      </c>
      <c r="E3" t="s">
        <v>80</v>
      </c>
    </row>
    <row r="4" spans="1:7" x14ac:dyDescent="0.2">
      <c r="A4" s="30" t="s">
        <v>68</v>
      </c>
      <c r="B4" t="s">
        <v>82</v>
      </c>
      <c r="C4" s="2">
        <v>1800</v>
      </c>
      <c r="E4" t="s">
        <v>83</v>
      </c>
      <c r="F4" s="2">
        <f>C4</f>
        <v>1800</v>
      </c>
    </row>
    <row r="5" spans="1:7" x14ac:dyDescent="0.2">
      <c r="A5" s="30" t="s">
        <v>84</v>
      </c>
      <c r="B5" t="s">
        <v>85</v>
      </c>
      <c r="C5" s="2">
        <v>3800</v>
      </c>
      <c r="E5" t="s">
        <v>80</v>
      </c>
      <c r="F5" s="2">
        <f>C5</f>
        <v>3800</v>
      </c>
    </row>
    <row r="6" spans="1:7" x14ac:dyDescent="0.2">
      <c r="A6" s="30" t="s">
        <v>86</v>
      </c>
      <c r="B6" t="s">
        <v>85</v>
      </c>
      <c r="C6" s="2">
        <f>55000/1.1</f>
        <v>49999.999999999993</v>
      </c>
      <c r="E6" t="s">
        <v>80</v>
      </c>
      <c r="F6" s="2">
        <f>C6</f>
        <v>49999.999999999993</v>
      </c>
      <c r="G6" t="s">
        <v>87</v>
      </c>
    </row>
    <row r="7" spans="1:7" x14ac:dyDescent="0.2">
      <c r="A7" t="s">
        <v>88</v>
      </c>
      <c r="B7" t="s">
        <v>89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D438-A5A3-4B24-83B9-5F5B2A93D88B}">
  <dimension ref="A1:E20"/>
  <sheetViews>
    <sheetView workbookViewId="0">
      <selection activeCell="C20" sqref="C20"/>
    </sheetView>
  </sheetViews>
  <sheetFormatPr baseColWidth="10" defaultRowHeight="14.25" x14ac:dyDescent="0.2"/>
  <cols>
    <col min="3" max="3" width="11.375" bestFit="1" customWidth="1"/>
  </cols>
  <sheetData>
    <row r="1" spans="1:4" x14ac:dyDescent="0.2">
      <c r="A1" t="s">
        <v>47</v>
      </c>
    </row>
    <row r="2" spans="1:4" ht="15" x14ac:dyDescent="0.25">
      <c r="A2" s="7" t="s">
        <v>0</v>
      </c>
    </row>
    <row r="3" spans="1:4" x14ac:dyDescent="0.2">
      <c r="A3" t="s">
        <v>48</v>
      </c>
      <c r="C3" s="2">
        <v>1600000</v>
      </c>
    </row>
    <row r="4" spans="1:4" x14ac:dyDescent="0.2">
      <c r="A4" t="s">
        <v>49</v>
      </c>
      <c r="C4" s="29">
        <v>3200000</v>
      </c>
      <c r="D4" t="s">
        <v>50</v>
      </c>
    </row>
    <row r="6" spans="1:4" x14ac:dyDescent="0.2">
      <c r="A6" t="s">
        <v>51</v>
      </c>
      <c r="C6" s="2">
        <f>C3/C4</f>
        <v>0.5</v>
      </c>
    </row>
    <row r="8" spans="1:4" x14ac:dyDescent="0.2">
      <c r="A8" t="s">
        <v>52</v>
      </c>
      <c r="B8" t="s">
        <v>53</v>
      </c>
    </row>
    <row r="9" spans="1:4" x14ac:dyDescent="0.2">
      <c r="A9" s="29">
        <v>200000</v>
      </c>
      <c r="B9" s="2">
        <f>A9*$C$6</f>
        <v>100000</v>
      </c>
    </row>
    <row r="10" spans="1:4" x14ac:dyDescent="0.2">
      <c r="A10" s="29">
        <v>140000</v>
      </c>
      <c r="B10" s="2">
        <f>A10*$C$6</f>
        <v>70000</v>
      </c>
    </row>
    <row r="13" spans="1:4" x14ac:dyDescent="0.2">
      <c r="A13" t="s">
        <v>54</v>
      </c>
    </row>
    <row r="14" spans="1:4" ht="15" x14ac:dyDescent="0.25">
      <c r="A14" s="7" t="s">
        <v>0</v>
      </c>
    </row>
    <row r="15" spans="1:4" x14ac:dyDescent="0.2">
      <c r="A15" t="s">
        <v>55</v>
      </c>
      <c r="D15" s="2">
        <f>40000*1.2</f>
        <v>48000</v>
      </c>
    </row>
    <row r="16" spans="1:4" x14ac:dyDescent="0.2">
      <c r="A16" t="s">
        <v>56</v>
      </c>
      <c r="D16" s="2">
        <v>3200</v>
      </c>
    </row>
    <row r="17" spans="1:5" x14ac:dyDescent="0.2">
      <c r="A17" t="s">
        <v>57</v>
      </c>
      <c r="D17" s="29">
        <v>80000</v>
      </c>
      <c r="E17" t="s">
        <v>58</v>
      </c>
    </row>
    <row r="18" spans="1:5" x14ac:dyDescent="0.2">
      <c r="A18" t="s">
        <v>59</v>
      </c>
      <c r="D18" s="29">
        <v>12000</v>
      </c>
      <c r="E18" t="s">
        <v>58</v>
      </c>
    </row>
    <row r="20" spans="1:5" x14ac:dyDescent="0.2">
      <c r="A20" s="30" t="s">
        <v>60</v>
      </c>
      <c r="D20" s="2">
        <f>D18/D17*(D15-D16)</f>
        <v>6720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1126-9D8F-4C12-A850-9FC23254C88F}">
  <dimension ref="A1:D37"/>
  <sheetViews>
    <sheetView workbookViewId="0">
      <selection activeCell="B23" sqref="B23"/>
    </sheetView>
  </sheetViews>
  <sheetFormatPr baseColWidth="10" defaultRowHeight="14.25" x14ac:dyDescent="0.2"/>
  <cols>
    <col min="1" max="1" width="20.625" customWidth="1"/>
    <col min="2" max="3" width="14.625" customWidth="1"/>
    <col min="4" max="4" width="18.375" customWidth="1"/>
  </cols>
  <sheetData>
    <row r="1" spans="1:4" ht="15.75" thickBot="1" x14ac:dyDescent="0.3">
      <c r="A1" s="7" t="s">
        <v>0</v>
      </c>
    </row>
    <row r="2" spans="1:4" ht="15" thickTop="1" x14ac:dyDescent="0.2">
      <c r="A2" s="32"/>
      <c r="B2" s="33" t="s">
        <v>90</v>
      </c>
      <c r="C2" s="34" t="s">
        <v>91</v>
      </c>
      <c r="D2" s="35" t="s">
        <v>92</v>
      </c>
    </row>
    <row r="3" spans="1:4" ht="15" thickBot="1" x14ac:dyDescent="0.25">
      <c r="A3" s="36"/>
      <c r="B3" s="37" t="s">
        <v>93</v>
      </c>
      <c r="C3" s="38" t="s">
        <v>94</v>
      </c>
      <c r="D3" s="39" t="s">
        <v>95</v>
      </c>
    </row>
    <row r="4" spans="1:4" x14ac:dyDescent="0.2">
      <c r="A4" s="40" t="s">
        <v>96</v>
      </c>
      <c r="B4" s="16">
        <v>2000</v>
      </c>
      <c r="C4" s="17">
        <v>2000</v>
      </c>
      <c r="D4" s="18">
        <v>3000</v>
      </c>
    </row>
    <row r="5" spans="1:4" x14ac:dyDescent="0.2">
      <c r="A5" s="41" t="s">
        <v>97</v>
      </c>
      <c r="B5" s="42">
        <v>1500</v>
      </c>
      <c r="C5" s="43">
        <v>1300</v>
      </c>
      <c r="D5" s="44">
        <v>2000</v>
      </c>
    </row>
    <row r="6" spans="1:4" x14ac:dyDescent="0.2">
      <c r="A6" s="41" t="s">
        <v>98</v>
      </c>
      <c r="B6" s="42">
        <v>6000</v>
      </c>
      <c r="C6" s="43">
        <v>5600</v>
      </c>
      <c r="D6" s="44">
        <v>7000</v>
      </c>
    </row>
    <row r="7" spans="1:4" x14ac:dyDescent="0.2">
      <c r="A7" s="41" t="s">
        <v>99</v>
      </c>
      <c r="B7" s="42">
        <v>5000</v>
      </c>
      <c r="C7" s="43">
        <v>4200</v>
      </c>
      <c r="D7" s="44">
        <v>8000</v>
      </c>
    </row>
    <row r="8" spans="1:4" x14ac:dyDescent="0.2">
      <c r="A8" s="41" t="s">
        <v>100</v>
      </c>
      <c r="B8" s="42">
        <v>1000</v>
      </c>
      <c r="C8" s="43">
        <v>700</v>
      </c>
      <c r="D8" s="44">
        <v>2000</v>
      </c>
    </row>
    <row r="9" spans="1:4" x14ac:dyDescent="0.2">
      <c r="A9" s="41" t="s">
        <v>101</v>
      </c>
      <c r="B9" s="42">
        <v>1500</v>
      </c>
      <c r="C9" s="43">
        <v>1900</v>
      </c>
      <c r="D9" s="45" t="s">
        <v>102</v>
      </c>
    </row>
    <row r="10" spans="1:4" x14ac:dyDescent="0.2">
      <c r="A10" s="41" t="s">
        <v>103</v>
      </c>
      <c r="B10" s="42">
        <v>3000</v>
      </c>
      <c r="C10" s="43">
        <v>3600</v>
      </c>
      <c r="D10" s="45" t="s">
        <v>102</v>
      </c>
    </row>
    <row r="11" spans="1:4" x14ac:dyDescent="0.2">
      <c r="A11" s="41" t="s">
        <v>104</v>
      </c>
      <c r="B11" s="42">
        <v>500</v>
      </c>
      <c r="C11" s="43">
        <v>500</v>
      </c>
      <c r="D11" s="45" t="s">
        <v>102</v>
      </c>
    </row>
    <row r="12" spans="1:4" ht="15" thickBot="1" x14ac:dyDescent="0.25">
      <c r="A12" s="46" t="s">
        <v>105</v>
      </c>
      <c r="B12" s="26">
        <v>1000</v>
      </c>
      <c r="C12" s="27">
        <v>1400</v>
      </c>
      <c r="D12" s="47" t="s">
        <v>102</v>
      </c>
    </row>
    <row r="13" spans="1:4" ht="15" thickTop="1" x14ac:dyDescent="0.2"/>
    <row r="14" spans="1:4" x14ac:dyDescent="0.2">
      <c r="A14" t="s">
        <v>106</v>
      </c>
      <c r="B14" t="str">
        <f>A5</f>
        <v>Wohngebäude</v>
      </c>
    </row>
    <row r="15" spans="1:4" x14ac:dyDescent="0.2">
      <c r="B15" t="str">
        <f>A11</f>
        <v>Wertpapiere des UV</v>
      </c>
    </row>
    <row r="17" spans="1:4" x14ac:dyDescent="0.2">
      <c r="A17" t="s">
        <v>107</v>
      </c>
      <c r="B17">
        <v>6</v>
      </c>
    </row>
    <row r="19" spans="1:4" ht="15" x14ac:dyDescent="0.25">
      <c r="A19" s="7" t="s">
        <v>108</v>
      </c>
      <c r="B19" s="29"/>
      <c r="C19" s="29"/>
      <c r="D19" s="29"/>
    </row>
    <row r="20" spans="1:4" x14ac:dyDescent="0.2">
      <c r="A20" s="48" t="s">
        <v>109</v>
      </c>
      <c r="B20" s="29"/>
      <c r="C20" s="29"/>
      <c r="D20" s="29"/>
    </row>
    <row r="21" spans="1:4" x14ac:dyDescent="0.2">
      <c r="A21" t="s">
        <v>110</v>
      </c>
      <c r="B21" s="29"/>
      <c r="C21" s="29"/>
      <c r="D21" s="29"/>
    </row>
    <row r="22" spans="1:4" x14ac:dyDescent="0.2">
      <c r="A22" t="s">
        <v>96</v>
      </c>
      <c r="B22" s="29">
        <f>D4</f>
        <v>3000</v>
      </c>
      <c r="C22" s="29"/>
      <c r="D22" s="29"/>
    </row>
    <row r="23" spans="1:4" x14ac:dyDescent="0.2">
      <c r="A23" t="s">
        <v>98</v>
      </c>
      <c r="B23" s="29">
        <f>D6/2</f>
        <v>3500</v>
      </c>
      <c r="C23" s="29"/>
      <c r="D23" s="29"/>
    </row>
    <row r="24" spans="1:4" x14ac:dyDescent="0.2">
      <c r="A24" t="s">
        <v>99</v>
      </c>
      <c r="B24" s="29">
        <f>D7/2</f>
        <v>4000</v>
      </c>
      <c r="C24" s="29"/>
      <c r="D24" s="29"/>
    </row>
    <row r="25" spans="1:4" x14ac:dyDescent="0.2">
      <c r="A25" t="s">
        <v>100</v>
      </c>
      <c r="B25" s="49">
        <f>D8/2</f>
        <v>1000</v>
      </c>
      <c r="C25" s="29"/>
      <c r="D25" s="29"/>
    </row>
    <row r="26" spans="1:4" x14ac:dyDescent="0.2">
      <c r="B26" s="29"/>
      <c r="C26" s="29">
        <f>SUM(B22:B25)</f>
        <v>11500</v>
      </c>
      <c r="D26" s="29"/>
    </row>
    <row r="27" spans="1:4" x14ac:dyDescent="0.2">
      <c r="A27" t="s">
        <v>111</v>
      </c>
      <c r="B27" s="29"/>
      <c r="C27" s="29"/>
      <c r="D27" s="29"/>
    </row>
    <row r="28" spans="1:4" x14ac:dyDescent="0.2">
      <c r="A28" t="s">
        <v>101</v>
      </c>
      <c r="B28" s="29">
        <f>(B9+C9)/2</f>
        <v>1700</v>
      </c>
      <c r="C28" s="29"/>
      <c r="D28" s="29"/>
    </row>
    <row r="29" spans="1:4" x14ac:dyDescent="0.2">
      <c r="A29" t="s">
        <v>103</v>
      </c>
      <c r="B29" s="29">
        <f>(B10+C10)/2</f>
        <v>3300</v>
      </c>
      <c r="C29" s="29"/>
      <c r="D29" s="29"/>
    </row>
    <row r="30" spans="1:4" x14ac:dyDescent="0.2">
      <c r="A30" t="s">
        <v>105</v>
      </c>
      <c r="B30" s="49">
        <f>(B12+C12)/2</f>
        <v>1200</v>
      </c>
      <c r="C30" s="29"/>
      <c r="D30" s="29"/>
    </row>
    <row r="31" spans="1:4" x14ac:dyDescent="0.2">
      <c r="B31" s="29"/>
      <c r="C31" s="49">
        <f>SUM(B28:B30)</f>
        <v>6200</v>
      </c>
      <c r="D31" s="29"/>
    </row>
    <row r="32" spans="1:4" x14ac:dyDescent="0.2">
      <c r="A32" s="30" t="s">
        <v>112</v>
      </c>
      <c r="B32" s="29"/>
      <c r="C32" s="29"/>
      <c r="D32" s="29">
        <f>C26+C31</f>
        <v>17700</v>
      </c>
    </row>
    <row r="33" spans="1:4" x14ac:dyDescent="0.2">
      <c r="A33" s="48" t="s">
        <v>113</v>
      </c>
      <c r="B33" s="29"/>
      <c r="C33" s="29"/>
      <c r="D33" s="29"/>
    </row>
    <row r="34" spans="1:4" x14ac:dyDescent="0.2">
      <c r="A34" t="s">
        <v>114</v>
      </c>
      <c r="B34" s="29"/>
      <c r="C34" s="29"/>
      <c r="D34" s="29">
        <f>D32</f>
        <v>17700</v>
      </c>
    </row>
    <row r="35" spans="1:4" x14ac:dyDescent="0.2">
      <c r="A35" s="30" t="s">
        <v>115</v>
      </c>
      <c r="B35" s="29"/>
      <c r="C35" s="29"/>
      <c r="D35" s="29"/>
    </row>
    <row r="36" spans="1:4" x14ac:dyDescent="0.2">
      <c r="A36" t="s">
        <v>116</v>
      </c>
      <c r="B36" s="29"/>
      <c r="C36" s="29">
        <f>D34*B17/100</f>
        <v>1062</v>
      </c>
      <c r="D36" s="29"/>
    </row>
    <row r="37" spans="1:4" x14ac:dyDescent="0.2">
      <c r="A37" t="s">
        <v>117</v>
      </c>
      <c r="B37" s="29"/>
      <c r="C37" s="29"/>
      <c r="D37" s="29">
        <f>C36/12</f>
        <v>88.5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7C9E-89E5-49B1-8DD2-CDF54302A802}">
  <dimension ref="A1:I102"/>
  <sheetViews>
    <sheetView topLeftCell="A68" workbookViewId="0">
      <selection activeCell="E51" sqref="E51"/>
    </sheetView>
  </sheetViews>
  <sheetFormatPr baseColWidth="10" defaultColWidth="10.625" defaultRowHeight="14.25" x14ac:dyDescent="0.2"/>
  <cols>
    <col min="1" max="1" width="21.875" style="2" customWidth="1"/>
    <col min="2" max="16384" width="10.625" style="2"/>
  </cols>
  <sheetData>
    <row r="1" spans="1:9" ht="15" thickBot="1" x14ac:dyDescent="0.25"/>
    <row r="2" spans="1:9" ht="15.75" thickTop="1" thickBot="1" x14ac:dyDescent="0.25">
      <c r="A2" s="50"/>
      <c r="B2" s="51" t="s">
        <v>118</v>
      </c>
      <c r="C2" s="52" t="s">
        <v>119</v>
      </c>
      <c r="D2" s="52" t="s">
        <v>100</v>
      </c>
      <c r="E2" s="52" t="s">
        <v>120</v>
      </c>
      <c r="F2" s="52" t="s">
        <v>121</v>
      </c>
      <c r="G2" s="52" t="s">
        <v>122</v>
      </c>
      <c r="H2" s="52" t="s">
        <v>123</v>
      </c>
      <c r="I2" s="53" t="s">
        <v>124</v>
      </c>
    </row>
    <row r="3" spans="1:9" x14ac:dyDescent="0.2">
      <c r="A3" s="54" t="s">
        <v>125</v>
      </c>
      <c r="B3" s="55">
        <v>40000</v>
      </c>
      <c r="C3" s="56">
        <v>50000</v>
      </c>
      <c r="D3" s="56">
        <v>30000</v>
      </c>
      <c r="E3" s="56">
        <v>80000</v>
      </c>
      <c r="F3" s="56">
        <v>110000</v>
      </c>
      <c r="G3" s="56">
        <v>60000</v>
      </c>
      <c r="H3" s="56">
        <v>70000</v>
      </c>
      <c r="I3" s="57">
        <f>SUM(B3:H3)</f>
        <v>440000</v>
      </c>
    </row>
    <row r="4" spans="1:9" x14ac:dyDescent="0.2">
      <c r="A4" s="58"/>
      <c r="B4" s="55"/>
      <c r="C4" s="56"/>
      <c r="D4" s="56"/>
      <c r="E4" s="56"/>
      <c r="F4" s="56"/>
      <c r="G4" s="56"/>
      <c r="H4" s="56"/>
      <c r="I4" s="57"/>
    </row>
    <row r="5" spans="1:9" x14ac:dyDescent="0.2">
      <c r="A5" s="58"/>
      <c r="B5" s="21"/>
      <c r="C5" s="22"/>
      <c r="D5" s="22"/>
      <c r="E5" s="22"/>
      <c r="F5" s="22"/>
      <c r="G5" s="22"/>
      <c r="H5" s="22"/>
      <c r="I5" s="59"/>
    </row>
    <row r="6" spans="1:9" x14ac:dyDescent="0.2">
      <c r="A6" s="58"/>
      <c r="B6" s="21"/>
      <c r="C6" s="22"/>
      <c r="D6" s="22"/>
      <c r="E6" s="22"/>
      <c r="F6" s="22"/>
      <c r="G6" s="22"/>
      <c r="H6" s="22"/>
      <c r="I6" s="59"/>
    </row>
    <row r="7" spans="1:9" x14ac:dyDescent="0.2">
      <c r="A7" s="58"/>
      <c r="B7" s="21"/>
      <c r="C7" s="22"/>
      <c r="D7" s="22"/>
      <c r="E7" s="22"/>
      <c r="F7" s="22"/>
      <c r="G7" s="22"/>
      <c r="H7" s="22"/>
      <c r="I7" s="59"/>
    </row>
    <row r="8" spans="1:9" x14ac:dyDescent="0.2">
      <c r="A8" s="58"/>
      <c r="B8" s="21"/>
      <c r="C8" s="22"/>
      <c r="D8" s="22"/>
      <c r="E8" s="22"/>
      <c r="F8" s="22"/>
      <c r="G8" s="22"/>
      <c r="H8" s="22"/>
      <c r="I8" s="59"/>
    </row>
    <row r="9" spans="1:9" x14ac:dyDescent="0.2">
      <c r="A9" s="58"/>
      <c r="B9" s="21"/>
      <c r="C9" s="22"/>
      <c r="D9" s="22"/>
      <c r="E9" s="22"/>
      <c r="F9" s="22"/>
      <c r="G9" s="22"/>
      <c r="H9" s="22"/>
      <c r="I9" s="59"/>
    </row>
    <row r="10" spans="1:9" x14ac:dyDescent="0.2">
      <c r="A10" s="58"/>
      <c r="B10" s="21"/>
      <c r="C10" s="22"/>
      <c r="D10" s="22"/>
      <c r="E10" s="22"/>
      <c r="F10" s="22"/>
      <c r="G10" s="22"/>
      <c r="H10" s="22"/>
      <c r="I10" s="59"/>
    </row>
    <row r="11" spans="1:9" ht="15" thickBot="1" x14ac:dyDescent="0.25">
      <c r="A11" s="60"/>
      <c r="B11" s="61"/>
      <c r="C11" s="62"/>
      <c r="D11" s="62"/>
      <c r="E11" s="62"/>
      <c r="F11" s="62"/>
      <c r="G11" s="62"/>
      <c r="H11" s="62"/>
      <c r="I11" s="63"/>
    </row>
    <row r="12" spans="1:9" ht="15" thickTop="1" x14ac:dyDescent="0.2"/>
    <row r="13" spans="1:9" x14ac:dyDescent="0.2">
      <c r="A13" s="2" t="s">
        <v>126</v>
      </c>
    </row>
    <row r="14" spans="1:9" ht="15" thickBot="1" x14ac:dyDescent="0.25"/>
    <row r="15" spans="1:9" ht="15" thickTop="1" x14ac:dyDescent="0.2">
      <c r="A15" s="64" t="s">
        <v>127</v>
      </c>
      <c r="B15" s="65"/>
      <c r="C15" s="66">
        <v>4000</v>
      </c>
      <c r="D15" s="66">
        <v>2000</v>
      </c>
      <c r="E15" s="66">
        <v>30000</v>
      </c>
      <c r="F15" s="66">
        <v>28000</v>
      </c>
      <c r="G15" s="66">
        <v>9000</v>
      </c>
      <c r="H15" s="66">
        <v>7000</v>
      </c>
      <c r="I15" s="67">
        <f t="shared" ref="I15:I17" si="0">SUM(B15:H15)</f>
        <v>80000</v>
      </c>
    </row>
    <row r="16" spans="1:9" x14ac:dyDescent="0.2">
      <c r="A16" s="58" t="s">
        <v>128</v>
      </c>
      <c r="B16" s="42">
        <v>1000</v>
      </c>
      <c r="C16" s="43"/>
      <c r="D16" s="43">
        <v>500</v>
      </c>
      <c r="E16" s="43">
        <v>4500</v>
      </c>
      <c r="F16" s="43">
        <v>6000</v>
      </c>
      <c r="G16" s="43">
        <v>8000</v>
      </c>
      <c r="H16" s="43">
        <v>5000</v>
      </c>
      <c r="I16" s="68">
        <f t="shared" si="0"/>
        <v>25000</v>
      </c>
    </row>
    <row r="17" spans="1:9" ht="15" thickBot="1" x14ac:dyDescent="0.25">
      <c r="A17" s="60" t="s">
        <v>129</v>
      </c>
      <c r="B17" s="69">
        <v>10</v>
      </c>
      <c r="C17" s="70">
        <v>20</v>
      </c>
      <c r="D17" s="70"/>
      <c r="E17" s="70">
        <v>40</v>
      </c>
      <c r="F17" s="70">
        <v>80</v>
      </c>
      <c r="G17" s="70">
        <v>60</v>
      </c>
      <c r="H17" s="70">
        <v>90</v>
      </c>
      <c r="I17" s="71">
        <f t="shared" si="0"/>
        <v>300</v>
      </c>
    </row>
    <row r="18" spans="1:9" ht="15" thickTop="1" x14ac:dyDescent="0.2"/>
    <row r="20" spans="1:9" ht="15" x14ac:dyDescent="0.25">
      <c r="A20" s="2" t="s">
        <v>130</v>
      </c>
    </row>
    <row r="21" spans="1:9" x14ac:dyDescent="0.2">
      <c r="A21" s="2" t="s">
        <v>118</v>
      </c>
    </row>
    <row r="22" spans="1:9" x14ac:dyDescent="0.2">
      <c r="B22" s="2" t="s">
        <v>131</v>
      </c>
      <c r="E22" s="2">
        <f>I15-SUM(B15:D15)</f>
        <v>74000</v>
      </c>
    </row>
    <row r="23" spans="1:9" x14ac:dyDescent="0.2">
      <c r="B23" s="2" t="s">
        <v>132</v>
      </c>
      <c r="E23" s="2">
        <f>B3/E22</f>
        <v>0.54054054054054057</v>
      </c>
    </row>
    <row r="24" spans="1:9" x14ac:dyDescent="0.2">
      <c r="A24" s="2" t="s">
        <v>119</v>
      </c>
    </row>
    <row r="25" spans="1:9" x14ac:dyDescent="0.2">
      <c r="B25" s="2" t="s">
        <v>131</v>
      </c>
      <c r="E25" s="2">
        <f>I16-SUM(B16:D16)</f>
        <v>23500</v>
      </c>
    </row>
    <row r="26" spans="1:9" x14ac:dyDescent="0.2">
      <c r="B26" s="2" t="s">
        <v>132</v>
      </c>
      <c r="E26" s="2">
        <f>C3/E25</f>
        <v>2.1276595744680851</v>
      </c>
    </row>
    <row r="27" spans="1:9" x14ac:dyDescent="0.2">
      <c r="A27" s="2" t="s">
        <v>100</v>
      </c>
    </row>
    <row r="28" spans="1:9" x14ac:dyDescent="0.2">
      <c r="B28" s="2" t="s">
        <v>131</v>
      </c>
      <c r="E28" s="2">
        <f>I17-SUM(B17:D17)</f>
        <v>270</v>
      </c>
    </row>
    <row r="29" spans="1:9" x14ac:dyDescent="0.2">
      <c r="B29" s="2" t="s">
        <v>132</v>
      </c>
      <c r="E29" s="2">
        <f>D3/E28</f>
        <v>111.11111111111111</v>
      </c>
    </row>
    <row r="30" spans="1:9" ht="15" thickBot="1" x14ac:dyDescent="0.25"/>
    <row r="31" spans="1:9" ht="15.75" thickTop="1" thickBot="1" x14ac:dyDescent="0.25">
      <c r="A31" s="50"/>
      <c r="B31" s="51" t="s">
        <v>118</v>
      </c>
      <c r="C31" s="52" t="s">
        <v>119</v>
      </c>
      <c r="D31" s="52" t="s">
        <v>100</v>
      </c>
      <c r="E31" s="52" t="s">
        <v>120</v>
      </c>
      <c r="F31" s="52" t="s">
        <v>121</v>
      </c>
      <c r="G31" s="52" t="s">
        <v>122</v>
      </c>
      <c r="H31" s="52" t="s">
        <v>123</v>
      </c>
      <c r="I31" s="53" t="s">
        <v>124</v>
      </c>
    </row>
    <row r="32" spans="1:9" x14ac:dyDescent="0.2">
      <c r="A32" s="54" t="s">
        <v>125</v>
      </c>
      <c r="B32" s="55">
        <v>40000</v>
      </c>
      <c r="C32" s="56">
        <v>50000</v>
      </c>
      <c r="D32" s="56">
        <v>30000</v>
      </c>
      <c r="E32" s="56">
        <v>80000</v>
      </c>
      <c r="F32" s="56">
        <v>110000</v>
      </c>
      <c r="G32" s="56">
        <v>60000</v>
      </c>
      <c r="H32" s="56">
        <v>70000</v>
      </c>
      <c r="I32" s="57">
        <f>SUM(B32:H32)</f>
        <v>440000</v>
      </c>
    </row>
    <row r="33" spans="1:9" x14ac:dyDescent="0.2">
      <c r="A33" s="58" t="s">
        <v>133</v>
      </c>
      <c r="B33" s="55">
        <f>-B32</f>
        <v>-40000</v>
      </c>
      <c r="C33" s="56"/>
      <c r="D33" s="56"/>
      <c r="E33" s="56">
        <f>E15*$E$23</f>
        <v>16216.216216216217</v>
      </c>
      <c r="F33" s="56">
        <f t="shared" ref="F33:H33" si="1">F15*$E$23</f>
        <v>15135.135135135137</v>
      </c>
      <c r="G33" s="56">
        <f t="shared" si="1"/>
        <v>4864.864864864865</v>
      </c>
      <c r="H33" s="56">
        <f t="shared" si="1"/>
        <v>3783.7837837837842</v>
      </c>
      <c r="I33" s="57">
        <f t="shared" ref="I33:I35" si="2">SUM(B33:H33)</f>
        <v>0</v>
      </c>
    </row>
    <row r="34" spans="1:9" x14ac:dyDescent="0.2">
      <c r="A34" s="58" t="s">
        <v>134</v>
      </c>
      <c r="B34" s="21"/>
      <c r="C34" s="22">
        <f>-C32</f>
        <v>-50000</v>
      </c>
      <c r="D34" s="22"/>
      <c r="E34" s="22">
        <f>E16*$E$26</f>
        <v>9574.4680851063822</v>
      </c>
      <c r="F34" s="22">
        <f t="shared" ref="F34:H34" si="3">F16*$E$26</f>
        <v>12765.95744680851</v>
      </c>
      <c r="G34" s="22">
        <f t="shared" si="3"/>
        <v>17021.276595744679</v>
      </c>
      <c r="H34" s="22">
        <f t="shared" si="3"/>
        <v>10638.297872340425</v>
      </c>
      <c r="I34" s="57">
        <f t="shared" si="2"/>
        <v>0</v>
      </c>
    </row>
    <row r="35" spans="1:9" ht="15" thickBot="1" x14ac:dyDescent="0.25">
      <c r="A35" s="58" t="s">
        <v>135</v>
      </c>
      <c r="B35" s="72"/>
      <c r="C35" s="73"/>
      <c r="D35" s="73">
        <f>-D32</f>
        <v>-30000</v>
      </c>
      <c r="E35" s="73">
        <f>E17*$E$29</f>
        <v>4444.4444444444443</v>
      </c>
      <c r="F35" s="73">
        <f t="shared" ref="F35:H35" si="4">F17*$E$29</f>
        <v>8888.8888888888887</v>
      </c>
      <c r="G35" s="73">
        <f t="shared" si="4"/>
        <v>6666.666666666667</v>
      </c>
      <c r="H35" s="73">
        <f t="shared" si="4"/>
        <v>10000</v>
      </c>
      <c r="I35" s="74">
        <f t="shared" si="2"/>
        <v>0</v>
      </c>
    </row>
    <row r="36" spans="1:9" x14ac:dyDescent="0.2">
      <c r="A36" s="58"/>
      <c r="B36" s="55">
        <f>SUM(B32:B35)</f>
        <v>0</v>
      </c>
      <c r="C36" s="55">
        <f t="shared" ref="C36:I36" si="5">SUM(C32:C35)</f>
        <v>0</v>
      </c>
      <c r="D36" s="55">
        <f t="shared" si="5"/>
        <v>0</v>
      </c>
      <c r="E36" s="55">
        <f t="shared" si="5"/>
        <v>110235.12874576703</v>
      </c>
      <c r="F36" s="55">
        <f t="shared" si="5"/>
        <v>146789.98147083251</v>
      </c>
      <c r="G36" s="55">
        <f t="shared" si="5"/>
        <v>88552.808127276221</v>
      </c>
      <c r="H36" s="55">
        <f t="shared" si="5"/>
        <v>94422.08165612421</v>
      </c>
      <c r="I36" s="55">
        <f t="shared" si="5"/>
        <v>440000</v>
      </c>
    </row>
    <row r="37" spans="1:9" x14ac:dyDescent="0.2">
      <c r="A37" s="58"/>
      <c r="B37" s="21"/>
      <c r="C37" s="22"/>
      <c r="D37" s="22"/>
      <c r="E37" s="22"/>
      <c r="F37" s="22"/>
      <c r="G37" s="22"/>
      <c r="H37" s="22"/>
      <c r="I37" s="59"/>
    </row>
    <row r="38" spans="1:9" x14ac:dyDescent="0.2">
      <c r="A38" s="58"/>
      <c r="B38" s="21"/>
      <c r="C38" s="22"/>
      <c r="D38" s="22"/>
      <c r="E38" s="22"/>
      <c r="F38" s="22"/>
      <c r="G38" s="22"/>
      <c r="H38" s="22"/>
      <c r="I38" s="59"/>
    </row>
    <row r="39" spans="1:9" x14ac:dyDescent="0.2">
      <c r="A39" s="58"/>
      <c r="B39" s="21"/>
      <c r="C39" s="22"/>
      <c r="D39" s="22"/>
      <c r="E39" s="22"/>
      <c r="F39" s="22"/>
      <c r="G39" s="22"/>
      <c r="H39" s="22"/>
      <c r="I39" s="59"/>
    </row>
    <row r="40" spans="1:9" ht="15" thickBot="1" x14ac:dyDescent="0.25">
      <c r="A40" s="60"/>
      <c r="B40" s="61"/>
      <c r="C40" s="62"/>
      <c r="D40" s="62"/>
      <c r="E40" s="62"/>
      <c r="F40" s="62"/>
      <c r="G40" s="62"/>
      <c r="H40" s="62"/>
      <c r="I40" s="63"/>
    </row>
    <row r="41" spans="1:9" ht="15" thickTop="1" x14ac:dyDescent="0.2"/>
    <row r="43" spans="1:9" ht="15" x14ac:dyDescent="0.25">
      <c r="A43" s="2" t="s">
        <v>136</v>
      </c>
    </row>
    <row r="44" spans="1:9" x14ac:dyDescent="0.2">
      <c r="A44" s="2" t="s">
        <v>118</v>
      </c>
    </row>
    <row r="45" spans="1:9" x14ac:dyDescent="0.2">
      <c r="B45" s="2" t="s">
        <v>137</v>
      </c>
      <c r="E45" s="2">
        <f>I15-B15</f>
        <v>80000</v>
      </c>
    </row>
    <row r="46" spans="1:9" x14ac:dyDescent="0.2">
      <c r="B46" s="2" t="s">
        <v>132</v>
      </c>
      <c r="E46" s="2">
        <f>B3/E45</f>
        <v>0.5</v>
      </c>
    </row>
    <row r="47" spans="1:9" x14ac:dyDescent="0.2">
      <c r="A47" s="2" t="s">
        <v>119</v>
      </c>
    </row>
    <row r="48" spans="1:9" x14ac:dyDescent="0.2">
      <c r="B48" s="2" t="s">
        <v>137</v>
      </c>
      <c r="E48" s="2">
        <f>I16-B16</f>
        <v>24000</v>
      </c>
    </row>
    <row r="49" spans="1:9" x14ac:dyDescent="0.2">
      <c r="B49" s="2" t="s">
        <v>138</v>
      </c>
      <c r="E49" s="2">
        <f>C15*E46</f>
        <v>2000</v>
      </c>
    </row>
    <row r="50" spans="1:9" x14ac:dyDescent="0.2">
      <c r="B50" s="2" t="s">
        <v>139</v>
      </c>
      <c r="E50" s="2">
        <f>C3+E49</f>
        <v>52000</v>
      </c>
    </row>
    <row r="51" spans="1:9" x14ac:dyDescent="0.2">
      <c r="B51" s="2" t="s">
        <v>132</v>
      </c>
      <c r="E51" s="2">
        <f>E50/E48</f>
        <v>2.1666666666666665</v>
      </c>
    </row>
    <row r="52" spans="1:9" x14ac:dyDescent="0.2">
      <c r="A52" s="2" t="s">
        <v>100</v>
      </c>
    </row>
    <row r="53" spans="1:9" x14ac:dyDescent="0.2">
      <c r="B53" s="2" t="s">
        <v>137</v>
      </c>
      <c r="E53" s="2">
        <f>I17-B17-C17</f>
        <v>270</v>
      </c>
    </row>
    <row r="54" spans="1:9" x14ac:dyDescent="0.2">
      <c r="B54" s="2" t="s">
        <v>138</v>
      </c>
      <c r="E54" s="2">
        <f>D15*E46+D16*E51</f>
        <v>2083.333333333333</v>
      </c>
    </row>
    <row r="55" spans="1:9" x14ac:dyDescent="0.2">
      <c r="B55" s="2" t="s">
        <v>139</v>
      </c>
      <c r="E55" s="2">
        <f>E54+D3</f>
        <v>32083.333333333332</v>
      </c>
    </row>
    <row r="56" spans="1:9" x14ac:dyDescent="0.2">
      <c r="B56" s="2" t="s">
        <v>132</v>
      </c>
      <c r="E56" s="2">
        <f>E55/E53</f>
        <v>118.82716049382715</v>
      </c>
    </row>
    <row r="57" spans="1:9" ht="15" thickBot="1" x14ac:dyDescent="0.25"/>
    <row r="58" spans="1:9" ht="15.75" thickTop="1" thickBot="1" x14ac:dyDescent="0.25">
      <c r="A58" s="50"/>
      <c r="B58" s="51" t="s">
        <v>118</v>
      </c>
      <c r="C58" s="52" t="s">
        <v>119</v>
      </c>
      <c r="D58" s="52" t="s">
        <v>100</v>
      </c>
      <c r="E58" s="52" t="s">
        <v>120</v>
      </c>
      <c r="F58" s="52" t="s">
        <v>121</v>
      </c>
      <c r="G58" s="52" t="s">
        <v>122</v>
      </c>
      <c r="H58" s="52" t="s">
        <v>123</v>
      </c>
      <c r="I58" s="53" t="s">
        <v>124</v>
      </c>
    </row>
    <row r="59" spans="1:9" x14ac:dyDescent="0.2">
      <c r="A59" s="54" t="s">
        <v>125</v>
      </c>
      <c r="B59" s="55">
        <v>40000</v>
      </c>
      <c r="C59" s="56">
        <v>50000</v>
      </c>
      <c r="D59" s="56">
        <v>30000</v>
      </c>
      <c r="E59" s="56">
        <v>80000</v>
      </c>
      <c r="F59" s="56">
        <v>110000</v>
      </c>
      <c r="G59" s="56">
        <v>60000</v>
      </c>
      <c r="H59" s="56">
        <v>70000</v>
      </c>
      <c r="I59" s="57">
        <f>SUM(B59:H59)</f>
        <v>440000</v>
      </c>
    </row>
    <row r="60" spans="1:9" x14ac:dyDescent="0.2">
      <c r="A60" s="58" t="s">
        <v>133</v>
      </c>
      <c r="B60" s="55">
        <f>-B59</f>
        <v>-40000</v>
      </c>
      <c r="C60" s="56">
        <f>C15*$E$46</f>
        <v>2000</v>
      </c>
      <c r="D60" s="56">
        <f t="shared" ref="D60:H60" si="6">D15*$E$46</f>
        <v>1000</v>
      </c>
      <c r="E60" s="56">
        <f t="shared" si="6"/>
        <v>15000</v>
      </c>
      <c r="F60" s="56">
        <f t="shared" si="6"/>
        <v>14000</v>
      </c>
      <c r="G60" s="56">
        <f t="shared" si="6"/>
        <v>4500</v>
      </c>
      <c r="H60" s="56">
        <f t="shared" si="6"/>
        <v>3500</v>
      </c>
      <c r="I60" s="57">
        <f t="shared" ref="I60:I62" si="7">SUM(B60:H60)</f>
        <v>0</v>
      </c>
    </row>
    <row r="61" spans="1:9" x14ac:dyDescent="0.2">
      <c r="A61" s="58" t="s">
        <v>134</v>
      </c>
      <c r="B61" s="21"/>
      <c r="C61" s="22">
        <f>-C59-C60</f>
        <v>-52000</v>
      </c>
      <c r="D61" s="22">
        <f>D16*$E$51</f>
        <v>1083.3333333333333</v>
      </c>
      <c r="E61" s="22">
        <f t="shared" ref="E61:H61" si="8">E16*$E$51</f>
        <v>9750</v>
      </c>
      <c r="F61" s="22">
        <f t="shared" si="8"/>
        <v>13000</v>
      </c>
      <c r="G61" s="22">
        <f t="shared" si="8"/>
        <v>17333.333333333332</v>
      </c>
      <c r="H61" s="22">
        <f t="shared" si="8"/>
        <v>10833.333333333332</v>
      </c>
      <c r="I61" s="57">
        <f t="shared" si="7"/>
        <v>0</v>
      </c>
    </row>
    <row r="62" spans="1:9" ht="15" thickBot="1" x14ac:dyDescent="0.25">
      <c r="A62" s="58" t="s">
        <v>135</v>
      </c>
      <c r="B62" s="72"/>
      <c r="C62" s="73"/>
      <c r="D62" s="73">
        <f>-D59-D60-D61</f>
        <v>-32083.333333333332</v>
      </c>
      <c r="E62" s="73">
        <f>E17*$E$56</f>
        <v>4753.0864197530864</v>
      </c>
      <c r="F62" s="73">
        <f t="shared" ref="F62:H62" si="9">F17*$E$56</f>
        <v>9506.1728395061727</v>
      </c>
      <c r="G62" s="73">
        <f t="shared" si="9"/>
        <v>7129.6296296296287</v>
      </c>
      <c r="H62" s="73">
        <f t="shared" si="9"/>
        <v>10694.444444444443</v>
      </c>
      <c r="I62" s="74">
        <f t="shared" si="7"/>
        <v>0</v>
      </c>
    </row>
    <row r="63" spans="1:9" x14ac:dyDescent="0.2">
      <c r="A63" s="58"/>
      <c r="B63" s="55">
        <f>SUM(B59:B62)</f>
        <v>0</v>
      </c>
      <c r="C63" s="55">
        <f t="shared" ref="C63:I63" si="10">SUM(C59:C62)</f>
        <v>0</v>
      </c>
      <c r="D63" s="55">
        <f t="shared" si="10"/>
        <v>0</v>
      </c>
      <c r="E63" s="55">
        <f t="shared" si="10"/>
        <v>109503.08641975309</v>
      </c>
      <c r="F63" s="55">
        <f t="shared" si="10"/>
        <v>146506.17283950618</v>
      </c>
      <c r="G63" s="55">
        <f t="shared" si="10"/>
        <v>88962.962962962964</v>
      </c>
      <c r="H63" s="55">
        <f t="shared" si="10"/>
        <v>95027.777777777766</v>
      </c>
      <c r="I63" s="55">
        <f t="shared" si="10"/>
        <v>440000</v>
      </c>
    </row>
    <row r="64" spans="1:9" x14ac:dyDescent="0.2">
      <c r="A64" s="58"/>
      <c r="B64" s="21"/>
      <c r="C64" s="22"/>
      <c r="D64" s="22"/>
      <c r="E64" s="22"/>
      <c r="F64" s="22"/>
      <c r="G64" s="22"/>
      <c r="H64" s="22"/>
      <c r="I64" s="59"/>
    </row>
    <row r="65" spans="1:9" x14ac:dyDescent="0.2">
      <c r="A65" s="58"/>
      <c r="B65" s="21"/>
      <c r="C65" s="22"/>
      <c r="D65" s="22"/>
      <c r="E65" s="22"/>
      <c r="F65" s="22"/>
      <c r="G65" s="22"/>
      <c r="H65" s="22"/>
      <c r="I65" s="59"/>
    </row>
    <row r="66" spans="1:9" x14ac:dyDescent="0.2">
      <c r="A66" s="58"/>
      <c r="B66" s="21"/>
      <c r="C66" s="22"/>
      <c r="D66" s="22"/>
      <c r="E66" s="22"/>
      <c r="F66" s="22"/>
      <c r="G66" s="22"/>
      <c r="H66" s="22"/>
      <c r="I66" s="59"/>
    </row>
    <row r="67" spans="1:9" ht="15" thickBot="1" x14ac:dyDescent="0.25">
      <c r="A67" s="60"/>
      <c r="B67" s="61"/>
      <c r="C67" s="62"/>
      <c r="D67" s="62"/>
      <c r="E67" s="62"/>
      <c r="F67" s="62"/>
      <c r="G67" s="62"/>
      <c r="H67" s="62"/>
      <c r="I67" s="63"/>
    </row>
    <row r="68" spans="1:9" ht="15" thickTop="1" x14ac:dyDescent="0.2"/>
    <row r="70" spans="1:9" ht="15" x14ac:dyDescent="0.25">
      <c r="A70" s="2" t="s">
        <v>140</v>
      </c>
    </row>
    <row r="71" spans="1:9" x14ac:dyDescent="0.2">
      <c r="A71" s="75" t="s">
        <v>141</v>
      </c>
    </row>
    <row r="72" spans="1:9" x14ac:dyDescent="0.2">
      <c r="A72" s="2">
        <f>B3</f>
        <v>40000</v>
      </c>
      <c r="B72" s="31" t="s">
        <v>142</v>
      </c>
      <c r="C72" s="2">
        <f>B16</f>
        <v>1000</v>
      </c>
      <c r="D72" s="2" t="s">
        <v>143</v>
      </c>
      <c r="E72" s="2">
        <f>B17</f>
        <v>10</v>
      </c>
      <c r="F72" s="2" t="s">
        <v>144</v>
      </c>
      <c r="G72" s="2">
        <f>I15</f>
        <v>80000</v>
      </c>
      <c r="H72" s="2" t="s">
        <v>145</v>
      </c>
    </row>
    <row r="73" spans="1:9" x14ac:dyDescent="0.2">
      <c r="A73" s="2">
        <f>C3</f>
        <v>50000</v>
      </c>
      <c r="B73" s="2" t="s">
        <v>142</v>
      </c>
      <c r="C73" s="2">
        <f>C15</f>
        <v>4000</v>
      </c>
      <c r="D73" s="2" t="s">
        <v>146</v>
      </c>
      <c r="E73" s="2">
        <f>C17</f>
        <v>20</v>
      </c>
      <c r="F73" s="2" t="s">
        <v>144</v>
      </c>
      <c r="G73" s="2">
        <f>I16</f>
        <v>25000</v>
      </c>
      <c r="H73" s="2" t="s">
        <v>147</v>
      </c>
    </row>
    <row r="74" spans="1:9" x14ac:dyDescent="0.2">
      <c r="A74" s="2">
        <f>D3</f>
        <v>30000</v>
      </c>
      <c r="B74" s="2" t="s">
        <v>142</v>
      </c>
      <c r="C74" s="2">
        <f>D15</f>
        <v>2000</v>
      </c>
      <c r="D74" s="2" t="s">
        <v>146</v>
      </c>
      <c r="E74" s="2">
        <f>D16</f>
        <v>500</v>
      </c>
      <c r="F74" s="2" t="s">
        <v>148</v>
      </c>
      <c r="G74" s="2">
        <f>I17</f>
        <v>300</v>
      </c>
      <c r="H74" s="2" t="s">
        <v>149</v>
      </c>
    </row>
    <row r="75" spans="1:9" x14ac:dyDescent="0.2">
      <c r="A75" s="75" t="s">
        <v>150</v>
      </c>
    </row>
    <row r="76" spans="1:9" x14ac:dyDescent="0.2">
      <c r="A76" s="2">
        <f>A72/G72</f>
        <v>0.5</v>
      </c>
      <c r="B76" s="2" t="str">
        <f>B72</f>
        <v>+</v>
      </c>
      <c r="C76" s="2">
        <f>C72/G72</f>
        <v>1.2500000000000001E-2</v>
      </c>
      <c r="D76" s="2" t="s">
        <v>143</v>
      </c>
      <c r="E76" s="2">
        <f>E72/G72</f>
        <v>1.25E-4</v>
      </c>
      <c r="F76" s="2" t="s">
        <v>144</v>
      </c>
      <c r="H76" s="2" t="str">
        <f>H72</f>
        <v>S</v>
      </c>
    </row>
    <row r="77" spans="1:9" x14ac:dyDescent="0.2">
      <c r="A77" s="75" t="s">
        <v>151</v>
      </c>
    </row>
    <row r="78" spans="1:9" x14ac:dyDescent="0.2">
      <c r="A78" s="2">
        <f>A73+C73*A76</f>
        <v>52000</v>
      </c>
      <c r="D78" s="31" t="s">
        <v>142</v>
      </c>
      <c r="E78" s="2">
        <f>E73+C73*E76</f>
        <v>20.5</v>
      </c>
      <c r="F78" s="2" t="s">
        <v>144</v>
      </c>
      <c r="G78" s="2">
        <f>G73-C73*C76</f>
        <v>24950</v>
      </c>
      <c r="H78" s="2" t="s">
        <v>147</v>
      </c>
    </row>
    <row r="79" spans="1:9" x14ac:dyDescent="0.2">
      <c r="A79" s="2">
        <f>A74+C74*A76</f>
        <v>31000</v>
      </c>
      <c r="D79" s="31" t="s">
        <v>142</v>
      </c>
      <c r="E79" s="2">
        <f>E74+C74*C76</f>
        <v>525</v>
      </c>
      <c r="F79" s="2" t="s">
        <v>148</v>
      </c>
      <c r="G79" s="2">
        <f>G74-C74*E76</f>
        <v>299.75</v>
      </c>
      <c r="H79" s="2" t="s">
        <v>149</v>
      </c>
    </row>
    <row r="80" spans="1:9" x14ac:dyDescent="0.2">
      <c r="A80" s="75" t="s">
        <v>152</v>
      </c>
    </row>
    <row r="81" spans="1:9" x14ac:dyDescent="0.2">
      <c r="A81" s="2">
        <f>A78/G78</f>
        <v>2.0841683366733466</v>
      </c>
      <c r="D81" s="2" t="str">
        <f>D78</f>
        <v>+</v>
      </c>
      <c r="E81" s="2">
        <f>E78/G78</f>
        <v>8.2164328657314634E-4</v>
      </c>
      <c r="F81" s="2" t="s">
        <v>144</v>
      </c>
      <c r="H81" s="2" t="str">
        <f>H78</f>
        <v>D</v>
      </c>
    </row>
    <row r="82" spans="1:9" x14ac:dyDescent="0.2">
      <c r="A82" s="75" t="s">
        <v>153</v>
      </c>
    </row>
    <row r="83" spans="1:9" x14ac:dyDescent="0.2">
      <c r="A83" s="2">
        <f>A79+E79*A81</f>
        <v>32094.188376753507</v>
      </c>
      <c r="F83" s="31" t="s">
        <v>154</v>
      </c>
      <c r="G83" s="2">
        <f>G79-E79*E81</f>
        <v>299.31863727454908</v>
      </c>
      <c r="H83" s="2" t="s">
        <v>149</v>
      </c>
    </row>
    <row r="84" spans="1:9" x14ac:dyDescent="0.2">
      <c r="A84" s="2">
        <f>A83/G83</f>
        <v>107.22415640064276</v>
      </c>
      <c r="F84" s="31" t="s">
        <v>154</v>
      </c>
      <c r="H84" s="2" t="s">
        <v>149</v>
      </c>
    </row>
    <row r="85" spans="1:9" x14ac:dyDescent="0.2">
      <c r="A85" s="75" t="s">
        <v>155</v>
      </c>
    </row>
    <row r="86" spans="1:9" x14ac:dyDescent="0.2">
      <c r="A86" s="2">
        <f>A78+E78*A84</f>
        <v>54198.095206213176</v>
      </c>
      <c r="F86" s="31" t="s">
        <v>154</v>
      </c>
      <c r="G86" s="2">
        <f>G78</f>
        <v>24950</v>
      </c>
      <c r="H86" s="2" t="str">
        <f>H78</f>
        <v>D</v>
      </c>
    </row>
    <row r="87" spans="1:9" x14ac:dyDescent="0.2">
      <c r="A87" s="2">
        <f>A86/G86</f>
        <v>2.1722683449384039</v>
      </c>
      <c r="F87" s="31" t="s">
        <v>154</v>
      </c>
      <c r="H87" s="2" t="str">
        <f>H86</f>
        <v>D</v>
      </c>
    </row>
    <row r="88" spans="1:9" x14ac:dyDescent="0.2">
      <c r="A88" s="75" t="s">
        <v>156</v>
      </c>
    </row>
    <row r="89" spans="1:9" x14ac:dyDescent="0.2">
      <c r="A89" s="2">
        <f>A72+C72*A87+E72*A84</f>
        <v>43244.509908944834</v>
      </c>
      <c r="F89" s="31" t="s">
        <v>154</v>
      </c>
      <c r="G89" s="2">
        <f>G72</f>
        <v>80000</v>
      </c>
      <c r="H89" s="2" t="str">
        <f>H72</f>
        <v>S</v>
      </c>
    </row>
    <row r="90" spans="1:9" x14ac:dyDescent="0.2">
      <c r="A90" s="2">
        <f>A89/G89</f>
        <v>0.54055637386181044</v>
      </c>
      <c r="F90" s="31" t="s">
        <v>154</v>
      </c>
      <c r="H90" s="2" t="str">
        <f>H89</f>
        <v>S</v>
      </c>
    </row>
    <row r="91" spans="1:9" ht="15" thickBot="1" x14ac:dyDescent="0.25"/>
    <row r="92" spans="1:9" ht="15.75" thickTop="1" thickBot="1" x14ac:dyDescent="0.25">
      <c r="A92" s="50"/>
      <c r="B92" s="51" t="s">
        <v>118</v>
      </c>
      <c r="C92" s="52" t="s">
        <v>119</v>
      </c>
      <c r="D92" s="52" t="s">
        <v>100</v>
      </c>
      <c r="E92" s="52" t="s">
        <v>120</v>
      </c>
      <c r="F92" s="52" t="s">
        <v>121</v>
      </c>
      <c r="G92" s="52" t="s">
        <v>122</v>
      </c>
      <c r="H92" s="52" t="s">
        <v>123</v>
      </c>
      <c r="I92" s="53" t="s">
        <v>124</v>
      </c>
    </row>
    <row r="93" spans="1:9" x14ac:dyDescent="0.2">
      <c r="A93" s="54" t="s">
        <v>125</v>
      </c>
      <c r="B93" s="55">
        <v>40000</v>
      </c>
      <c r="C93" s="56">
        <v>50000</v>
      </c>
      <c r="D93" s="56">
        <v>30000</v>
      </c>
      <c r="E93" s="56">
        <v>80000</v>
      </c>
      <c r="F93" s="56">
        <v>110000</v>
      </c>
      <c r="G93" s="56">
        <v>60000</v>
      </c>
      <c r="H93" s="56">
        <v>70000</v>
      </c>
      <c r="I93" s="57">
        <f>SUM(B93:H93)</f>
        <v>440000</v>
      </c>
    </row>
    <row r="94" spans="1:9" x14ac:dyDescent="0.2">
      <c r="A94" s="58" t="s">
        <v>133</v>
      </c>
      <c r="B94" s="55">
        <f>-SUM(C94:H94)</f>
        <v>-43244.509908944841</v>
      </c>
      <c r="C94" s="56">
        <f>C15*$A$90</f>
        <v>2162.2254954472419</v>
      </c>
      <c r="D94" s="56">
        <f t="shared" ref="D94:H94" si="11">D15*$A$90</f>
        <v>1081.1127477236209</v>
      </c>
      <c r="E94" s="56">
        <f t="shared" si="11"/>
        <v>16216.691215854313</v>
      </c>
      <c r="F94" s="56">
        <f t="shared" si="11"/>
        <v>15135.578468130692</v>
      </c>
      <c r="G94" s="56">
        <f t="shared" si="11"/>
        <v>4865.007364756294</v>
      </c>
      <c r="H94" s="56">
        <f t="shared" si="11"/>
        <v>3783.8946170326731</v>
      </c>
      <c r="I94" s="57">
        <f t="shared" ref="I94:I96" si="12">SUM(B94:H94)</f>
        <v>0</v>
      </c>
    </row>
    <row r="95" spans="1:9" x14ac:dyDescent="0.2">
      <c r="A95" s="58" t="s">
        <v>134</v>
      </c>
      <c r="B95" s="21">
        <f>B16*$A$87</f>
        <v>2172.268344938404</v>
      </c>
      <c r="C95" s="22">
        <f>-B95-D95-E95-F95-G95-H95</f>
        <v>-54306.708623460101</v>
      </c>
      <c r="D95" s="21">
        <f t="shared" ref="D95:H95" si="13">D16*$A$87</f>
        <v>1086.134172469202</v>
      </c>
      <c r="E95" s="21">
        <f t="shared" si="13"/>
        <v>9775.207552222817</v>
      </c>
      <c r="F95" s="21">
        <f t="shared" si="13"/>
        <v>13033.610069630424</v>
      </c>
      <c r="G95" s="21">
        <f t="shared" si="13"/>
        <v>17378.146759507232</v>
      </c>
      <c r="H95" s="21">
        <f t="shared" si="13"/>
        <v>10861.34172469202</v>
      </c>
      <c r="I95" s="57">
        <f t="shared" si="12"/>
        <v>0</v>
      </c>
    </row>
    <row r="96" spans="1:9" ht="15" thickBot="1" x14ac:dyDescent="0.25">
      <c r="A96" s="58" t="s">
        <v>135</v>
      </c>
      <c r="B96" s="72">
        <f>B17*$A$84</f>
        <v>1072.2415640064276</v>
      </c>
      <c r="C96" s="73">
        <f>C17*$A$84</f>
        <v>2144.4831280128551</v>
      </c>
      <c r="D96" s="73">
        <f>-B96-C96-E96-F96-G96-H96</f>
        <v>-32167.246920192825</v>
      </c>
      <c r="E96" s="73">
        <f>E17*$A$84</f>
        <v>4288.9662560257102</v>
      </c>
      <c r="F96" s="73">
        <f>F17*$A$84</f>
        <v>8577.9325120514204</v>
      </c>
      <c r="G96" s="73">
        <f>G17*$A$84</f>
        <v>6433.4493840385658</v>
      </c>
      <c r="H96" s="73">
        <f>H17*$A$84</f>
        <v>9650.1740760578487</v>
      </c>
      <c r="I96" s="74">
        <f t="shared" si="12"/>
        <v>0</v>
      </c>
    </row>
    <row r="97" spans="1:9" x14ac:dyDescent="0.2">
      <c r="A97" s="58"/>
      <c r="B97" s="55">
        <f>SUM(B93:B96)</f>
        <v>-9.7770680440589786E-12</v>
      </c>
      <c r="C97" s="55">
        <f t="shared" ref="C97:I97" si="14">SUM(C93:C96)</f>
        <v>0</v>
      </c>
      <c r="D97" s="55">
        <f t="shared" si="14"/>
        <v>0</v>
      </c>
      <c r="E97" s="55">
        <f t="shared" si="14"/>
        <v>110280.86502410284</v>
      </c>
      <c r="F97" s="55">
        <f t="shared" si="14"/>
        <v>146747.12104981256</v>
      </c>
      <c r="G97" s="55">
        <f t="shared" si="14"/>
        <v>88676.603508302098</v>
      </c>
      <c r="H97" s="55">
        <f t="shared" si="14"/>
        <v>94295.410417782536</v>
      </c>
      <c r="I97" s="76">
        <f t="shared" si="14"/>
        <v>440000</v>
      </c>
    </row>
    <row r="98" spans="1:9" x14ac:dyDescent="0.2">
      <c r="A98" s="58"/>
      <c r="B98" s="21"/>
      <c r="C98" s="22"/>
      <c r="D98" s="22"/>
      <c r="E98" s="22"/>
      <c r="F98" s="22"/>
      <c r="G98" s="22"/>
      <c r="H98" s="22"/>
      <c r="I98" s="59"/>
    </row>
    <row r="99" spans="1:9" x14ac:dyDescent="0.2">
      <c r="A99" s="58"/>
      <c r="B99" s="21"/>
      <c r="C99" s="22"/>
      <c r="D99" s="22"/>
      <c r="E99" s="22"/>
      <c r="F99" s="22"/>
      <c r="G99" s="22"/>
      <c r="H99" s="22"/>
      <c r="I99" s="59"/>
    </row>
    <row r="100" spans="1:9" x14ac:dyDescent="0.2">
      <c r="A100" s="58"/>
      <c r="B100" s="21"/>
      <c r="C100" s="22"/>
      <c r="D100" s="22"/>
      <c r="E100" s="22"/>
      <c r="F100" s="22"/>
      <c r="G100" s="22"/>
      <c r="H100" s="22"/>
      <c r="I100" s="59"/>
    </row>
    <row r="101" spans="1:9" ht="15" thickBot="1" x14ac:dyDescent="0.25">
      <c r="A101" s="60"/>
      <c r="B101" s="61"/>
      <c r="C101" s="62"/>
      <c r="D101" s="62"/>
      <c r="E101" s="62"/>
      <c r="F101" s="62"/>
      <c r="G101" s="62"/>
      <c r="H101" s="62"/>
      <c r="I101" s="63"/>
    </row>
    <row r="102" spans="1:9" ht="15" thickTop="1" x14ac:dyDescent="0.2"/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66EE-6250-460E-BA9E-7873F498FE63}">
  <dimension ref="A1:F19"/>
  <sheetViews>
    <sheetView workbookViewId="0">
      <selection activeCell="C20" sqref="C20"/>
    </sheetView>
  </sheetViews>
  <sheetFormatPr baseColWidth="10" defaultRowHeight="14.25" x14ac:dyDescent="0.2"/>
  <cols>
    <col min="3" max="3" width="32" customWidth="1"/>
    <col min="4" max="4" width="16.375" customWidth="1"/>
    <col min="5" max="5" width="20.625" customWidth="1"/>
    <col min="6" max="6" width="23.5" customWidth="1"/>
  </cols>
  <sheetData>
    <row r="1" spans="1:6" ht="15" x14ac:dyDescent="0.25">
      <c r="A1" s="7" t="s">
        <v>0</v>
      </c>
    </row>
    <row r="2" spans="1:6" x14ac:dyDescent="0.2">
      <c r="A2" s="13" t="s">
        <v>157</v>
      </c>
      <c r="B2" s="13" t="s">
        <v>158</v>
      </c>
      <c r="C2" t="s">
        <v>159</v>
      </c>
    </row>
    <row r="3" spans="1:6" x14ac:dyDescent="0.2">
      <c r="A3" s="13" t="s">
        <v>160</v>
      </c>
      <c r="B3" s="29">
        <v>8000</v>
      </c>
      <c r="C3" s="13">
        <v>20</v>
      </c>
    </row>
    <row r="4" spans="1:6" x14ac:dyDescent="0.2">
      <c r="A4" s="13" t="s">
        <v>161</v>
      </c>
      <c r="B4" s="29">
        <v>20000</v>
      </c>
      <c r="C4" s="13">
        <v>0</v>
      </c>
    </row>
    <row r="5" spans="1:6" x14ac:dyDescent="0.2">
      <c r="A5" s="13" t="s">
        <v>162</v>
      </c>
      <c r="B5" s="29">
        <v>32000</v>
      </c>
      <c r="C5" s="13">
        <v>-10</v>
      </c>
    </row>
    <row r="6" spans="1:6" x14ac:dyDescent="0.2">
      <c r="A6" s="13" t="s">
        <v>147</v>
      </c>
      <c r="B6" s="29">
        <v>22000</v>
      </c>
      <c r="C6" s="13">
        <v>-20</v>
      </c>
    </row>
    <row r="7" spans="1:6" x14ac:dyDescent="0.2">
      <c r="A7" s="13"/>
      <c r="B7" s="29"/>
      <c r="C7" s="13"/>
    </row>
    <row r="8" spans="1:6" x14ac:dyDescent="0.2">
      <c r="A8" s="77" t="s">
        <v>4</v>
      </c>
      <c r="B8" s="29"/>
      <c r="C8" s="78">
        <v>13680000</v>
      </c>
    </row>
    <row r="10" spans="1:6" ht="15" x14ac:dyDescent="0.25">
      <c r="A10" s="79" t="s">
        <v>163</v>
      </c>
    </row>
    <row r="11" spans="1:6" s="13" customFormat="1" x14ac:dyDescent="0.2">
      <c r="A11" s="13" t="s">
        <v>157</v>
      </c>
      <c r="B11" s="13" t="s">
        <v>158</v>
      </c>
      <c r="C11" s="13" t="s">
        <v>164</v>
      </c>
      <c r="D11" s="13" t="s">
        <v>165</v>
      </c>
      <c r="E11" s="13" t="s">
        <v>166</v>
      </c>
      <c r="F11" s="13" t="s">
        <v>167</v>
      </c>
    </row>
    <row r="12" spans="1:6" x14ac:dyDescent="0.2">
      <c r="A12" s="13" t="s">
        <v>160</v>
      </c>
      <c r="B12" s="29">
        <v>8000</v>
      </c>
      <c r="C12">
        <f>1+C3/100</f>
        <v>1.2</v>
      </c>
      <c r="D12" s="29">
        <f>B12*C12</f>
        <v>9600</v>
      </c>
      <c r="E12" s="2">
        <f>D17*C12</f>
        <v>216</v>
      </c>
      <c r="F12" s="2">
        <f>E12*B12</f>
        <v>1728000</v>
      </c>
    </row>
    <row r="13" spans="1:6" x14ac:dyDescent="0.2">
      <c r="A13" s="13" t="s">
        <v>161</v>
      </c>
      <c r="B13" s="29">
        <v>20000</v>
      </c>
      <c r="C13">
        <f>1+C4/100</f>
        <v>1</v>
      </c>
      <c r="D13" s="29">
        <f t="shared" ref="D13:D15" si="0">B13*C13</f>
        <v>20000</v>
      </c>
      <c r="E13" s="2">
        <f>D17*C13</f>
        <v>180</v>
      </c>
      <c r="F13" s="2">
        <f t="shared" ref="F13:F15" si="1">E13*B13</f>
        <v>3600000</v>
      </c>
    </row>
    <row r="14" spans="1:6" x14ac:dyDescent="0.2">
      <c r="A14" s="13" t="s">
        <v>162</v>
      </c>
      <c r="B14" s="29">
        <v>32000</v>
      </c>
      <c r="C14">
        <f>1+C5/100</f>
        <v>0.9</v>
      </c>
      <c r="D14" s="29">
        <f t="shared" si="0"/>
        <v>28800</v>
      </c>
      <c r="E14" s="2">
        <f>D17*C14</f>
        <v>162</v>
      </c>
      <c r="F14" s="2">
        <f t="shared" si="1"/>
        <v>5184000</v>
      </c>
    </row>
    <row r="15" spans="1:6" x14ac:dyDescent="0.2">
      <c r="A15" s="13" t="s">
        <v>147</v>
      </c>
      <c r="B15" s="29">
        <v>22000</v>
      </c>
      <c r="C15">
        <f>1+C6/100</f>
        <v>0.8</v>
      </c>
      <c r="D15" s="49">
        <f t="shared" si="0"/>
        <v>17600</v>
      </c>
      <c r="E15" s="2">
        <f>C15*D17</f>
        <v>144</v>
      </c>
      <c r="F15" s="4">
        <f t="shared" si="1"/>
        <v>3168000</v>
      </c>
    </row>
    <row r="16" spans="1:6" x14ac:dyDescent="0.2">
      <c r="A16" s="77"/>
      <c r="D16" s="29">
        <f>SUM(D12:D15)</f>
        <v>76000</v>
      </c>
      <c r="F16" s="2">
        <f>SUM(F12:F15)</f>
        <v>13680000</v>
      </c>
    </row>
    <row r="17" spans="1:4" x14ac:dyDescent="0.2">
      <c r="A17" s="77" t="s">
        <v>168</v>
      </c>
      <c r="D17" s="2">
        <f>C8/D16</f>
        <v>180</v>
      </c>
    </row>
    <row r="18" spans="1:4" x14ac:dyDescent="0.2">
      <c r="A18" s="77"/>
    </row>
    <row r="19" spans="1:4" x14ac:dyDescent="0.2">
      <c r="A19" s="77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A167-2243-4BFC-90DB-919D83BA80AC}">
  <dimension ref="A1:H13"/>
  <sheetViews>
    <sheetView workbookViewId="0">
      <selection activeCell="C20" sqref="C20"/>
    </sheetView>
  </sheetViews>
  <sheetFormatPr baseColWidth="10" defaultColWidth="11.25" defaultRowHeight="14.25" x14ac:dyDescent="0.2"/>
  <cols>
    <col min="1" max="1" width="11.25" style="2" customWidth="1"/>
    <col min="2" max="2" width="9.875" style="2" customWidth="1"/>
    <col min="3" max="5" width="11.25" style="2"/>
    <col min="6" max="6" width="8.5" style="2" customWidth="1"/>
    <col min="7" max="7" width="9.625" style="2" customWidth="1"/>
    <col min="8" max="16384" width="11.25" style="2"/>
  </cols>
  <sheetData>
    <row r="1" spans="1:8" ht="15" x14ac:dyDescent="0.25">
      <c r="A1" s="1" t="s">
        <v>0</v>
      </c>
    </row>
    <row r="2" spans="1:8" x14ac:dyDescent="0.2">
      <c r="C2" s="3" t="s">
        <v>1</v>
      </c>
      <c r="D2" s="3" t="s">
        <v>2</v>
      </c>
    </row>
    <row r="3" spans="1:8" x14ac:dyDescent="0.2">
      <c r="A3" s="2" t="s">
        <v>3</v>
      </c>
      <c r="C3" s="2">
        <v>135</v>
      </c>
      <c r="D3" s="2">
        <v>184</v>
      </c>
    </row>
    <row r="4" spans="1:8" x14ac:dyDescent="0.2">
      <c r="A4" s="2" t="s">
        <v>4</v>
      </c>
      <c r="C4" s="2">
        <f>220136*1.5</f>
        <v>330204</v>
      </c>
      <c r="D4" s="2">
        <f>260590*1.5</f>
        <v>390885</v>
      </c>
    </row>
    <row r="6" spans="1:8" ht="15" x14ac:dyDescent="0.25">
      <c r="A6" s="1" t="s">
        <v>5</v>
      </c>
    </row>
    <row r="7" spans="1:8" ht="18.75" x14ac:dyDescent="0.35">
      <c r="A7" s="2" t="s">
        <v>1</v>
      </c>
      <c r="B7" s="2">
        <f>C4</f>
        <v>330204</v>
      </c>
      <c r="C7" s="2" t="s">
        <v>6</v>
      </c>
      <c r="D7" s="2">
        <f>C3</f>
        <v>135</v>
      </c>
      <c r="E7" s="2" t="s">
        <v>7</v>
      </c>
    </row>
    <row r="8" spans="1:8" ht="18.75" x14ac:dyDescent="0.35">
      <c r="A8" s="4" t="s">
        <v>2</v>
      </c>
      <c r="B8" s="4">
        <f>D4</f>
        <v>390885</v>
      </c>
      <c r="C8" s="4" t="s">
        <v>6</v>
      </c>
      <c r="D8" s="4">
        <f>D3</f>
        <v>184</v>
      </c>
      <c r="E8" s="4" t="s">
        <v>7</v>
      </c>
    </row>
    <row r="9" spans="1:8" ht="18.75" x14ac:dyDescent="0.35">
      <c r="A9" s="2" t="s">
        <v>8</v>
      </c>
      <c r="B9" s="2">
        <f>B7-B8</f>
        <v>-60681</v>
      </c>
      <c r="C9" s="2" t="s">
        <v>6</v>
      </c>
      <c r="D9" s="2">
        <f>D7-D8</f>
        <v>-49</v>
      </c>
      <c r="E9" s="2" t="s">
        <v>9</v>
      </c>
    </row>
    <row r="10" spans="1:8" ht="16.5" x14ac:dyDescent="0.3">
      <c r="B10" s="5" t="s">
        <v>10</v>
      </c>
      <c r="C10" s="2">
        <f>B9/D9</f>
        <v>1238.3877551020407</v>
      </c>
      <c r="D10" s="2" t="s">
        <v>11</v>
      </c>
    </row>
    <row r="11" spans="1:8" ht="16.5" x14ac:dyDescent="0.3">
      <c r="A11" s="2" t="s">
        <v>1</v>
      </c>
      <c r="B11" s="5" t="s">
        <v>12</v>
      </c>
      <c r="C11" s="2">
        <f>C10</f>
        <v>1238.3877551020407</v>
      </c>
      <c r="D11" s="2" t="s">
        <v>13</v>
      </c>
      <c r="E11" s="2">
        <f>C3</f>
        <v>135</v>
      </c>
      <c r="F11" s="2" t="s">
        <v>14</v>
      </c>
      <c r="G11" s="2">
        <f>C11*E11</f>
        <v>167182.3469387755</v>
      </c>
      <c r="H11" s="2" t="s">
        <v>15</v>
      </c>
    </row>
    <row r="12" spans="1:8" ht="18.75" x14ac:dyDescent="0.35">
      <c r="A12" s="2" t="s">
        <v>1</v>
      </c>
      <c r="B12" s="2">
        <f>B7</f>
        <v>330204</v>
      </c>
      <c r="C12" s="2" t="s">
        <v>16</v>
      </c>
      <c r="D12" s="2">
        <f>C11</f>
        <v>1238.3877551020407</v>
      </c>
      <c r="E12" s="2" t="s">
        <v>13</v>
      </c>
      <c r="F12" s="2">
        <f>E11</f>
        <v>135</v>
      </c>
      <c r="G12" s="2" t="s">
        <v>7</v>
      </c>
    </row>
    <row r="13" spans="1:8" ht="16.5" x14ac:dyDescent="0.3">
      <c r="B13" s="6" t="s">
        <v>17</v>
      </c>
      <c r="C13" s="2">
        <f>B12-D12*F12</f>
        <v>163021.6530612245</v>
      </c>
      <c r="D13" s="2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II.5.4</vt:lpstr>
      <vt:lpstr>II.5.5</vt:lpstr>
      <vt:lpstr>II.5.6</vt:lpstr>
      <vt:lpstr>II.5.10</vt:lpstr>
      <vt:lpstr>III.3.11</vt:lpstr>
      <vt:lpstr>III.3.17</vt:lpstr>
      <vt:lpstr>III.4.7</vt:lpstr>
      <vt:lpstr>III.5.8</vt:lpstr>
      <vt:lpstr>III.6.1</vt:lpstr>
      <vt:lpstr>III.6.4</vt:lpstr>
      <vt:lpstr>III.6.7</vt:lpstr>
    </vt:vector>
  </TitlesOfParts>
  <Company>PKF FASSELT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Winzker, Prof. Dr. Frank</dc:creator>
  <cp:lastModifiedBy>Winzker, Prof. Dr. Frank</cp:lastModifiedBy>
  <dcterms:created xsi:type="dcterms:W3CDTF">2023-11-10T17:16:14Z</dcterms:created>
  <dcterms:modified xsi:type="dcterms:W3CDTF">2023-11-10T17:25:56Z</dcterms:modified>
</cp:coreProperties>
</file>